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oUkHuwGyjgEonfyYEKV71MlKJiGGs1FGizo+Bt3quVTvhD+8HTRipqsjMCnFxg6Pcj1uKIqCB9G82DQHlNhNkw==" saltValue="+MFzVoe16q/tWePFTI39rg==" spinCount="100000"/>
  <workbookPr filterPrivacy="1" codeName="ThisWorkbook" defaultThemeVersion="124226"/>
  <xr:revisionPtr revIDLastSave="0" documentId="8_{7003C848-3EB6-4425-AA04-266F97582E11}"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 B-3-A Remeas Suprt" sheetId="43" r:id="rId7"/>
    <sheet name="WS B-3-B" sheetId="44" r:id="rId8"/>
    <sheet name="WS C  - Working Capital" sheetId="6" r:id="rId9"/>
    <sheet name="WS D IPP Credits" sheetId="7" r:id="rId10"/>
    <sheet name="WS E Rev Credits" sheetId="8" r:id="rId11"/>
    <sheet name="WS F Misc Exp" sheetId="9" r:id="rId12"/>
    <sheet name="WS G  State Tax Rate" sheetId="10" r:id="rId13"/>
    <sheet name="WS H-p1 Other Taxes" sheetId="11" r:id="rId14"/>
    <sheet name="WS H-p2 Detail of Tax Amts" sheetId="31" r:id="rId15"/>
    <sheet name="WS I RESERVED" sheetId="12" r:id="rId16"/>
    <sheet name="WS J PROJECTED RTEP RR" sheetId="20" state="hidden" r:id="rId17"/>
    <sheet name="WS K TRUE-UP RTEP RR" sheetId="13" r:id="rId18"/>
    <sheet name="WS L RESERVED" sheetId="14" r:id="rId19"/>
    <sheet name="WS M - Cost of Capital" sheetId="39" r:id="rId20"/>
    <sheet name="WS N - Sale of Plant Held" sheetId="21" r:id="rId21"/>
    <sheet name="Worksheet O" sheetId="40" r:id="rId22"/>
    <sheet name="WS P Dep. Rates" sheetId="32" r:id="rId23"/>
    <sheet name="WS Q Cap Structure" sheetId="34" r:id="rId24"/>
    <sheet name="WS R Interest" sheetId="35" r:id="rId25"/>
    <sheet name="WS R Interest(2)" sheetId="41" r:id="rId26"/>
  </sheets>
  <externalReferences>
    <externalReference r:id="rId27"/>
    <externalReference r:id="rId28"/>
    <externalReference r:id="rId29"/>
    <externalReference r:id="rId30"/>
    <externalReference r:id="rId31"/>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21">[2]TCOS!#REF!</definedName>
    <definedName name="APCo_Hist_Allocators" localSheetId="1">[3]TCOS!#REF!</definedName>
    <definedName name="APCo_Hist_Allocators" localSheetId="14">#REF!</definedName>
    <definedName name="APCo_Hist_Allocators" localSheetId="19">[4]TCOS!#REF!</definedName>
    <definedName name="APCo_Hist_Allocators">TCOS!#REF!</definedName>
    <definedName name="APCo_Proj_Allocators" localSheetId="14">#REF!</definedName>
    <definedName name="APCo_Proj_Allocators">#REF!</definedName>
    <definedName name="APCo_TU_Allocators" localSheetId="14">#REF!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1">[2]TCOS!#REF!</definedName>
    <definedName name="IM_Allocators" localSheetId="1">[3]TCOS!#REF!</definedName>
    <definedName name="IM_Allocators" localSheetId="14">#REF!</definedName>
    <definedName name="IM_Allocators" localSheetId="19">[4]TCOS!#REF!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1">'[2]WS I RESERVED'!#REF!</definedName>
    <definedName name="M_A" localSheetId="1">'[3]WS I RESERVED'!#REF!</definedName>
    <definedName name="M_A" localSheetId="14">#REF!</definedName>
    <definedName name="M_A" localSheetId="19">'[4]WS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1">[2]TCOS!$J$104</definedName>
    <definedName name="NP_h" localSheetId="1">[3]TCOS!$J$102</definedName>
    <definedName name="NP_h" localSheetId="14">'[5]APCo Historic TCOS'!$J$100</definedName>
    <definedName name="NP_h" localSheetId="19">[4]TCOS!$J$102</definedName>
    <definedName name="NP_h">TCOS!$J$82</definedName>
    <definedName name="NP_h1">#REF!</definedName>
    <definedName name="NPh" localSheetId="14">#REF!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21">'Worksheet O'!$A$1:$D$37</definedName>
    <definedName name="_xlnm.Print_Area" localSheetId="2">'WS B ADIT &amp; ITC'!$A$3:$I$56</definedName>
    <definedName name="_xlnm.Print_Area" localSheetId="9">'WS D IPP Credits'!$A$1:$E$28</definedName>
    <definedName name="_xlnm.Print_Area" localSheetId="10">'WS E Rev Credits'!$A$3:$K$38</definedName>
    <definedName name="_xlnm.Print_Area" localSheetId="11">'WS F Misc Exp'!$A$3:$G$74</definedName>
    <definedName name="_xlnm.Print_Area" localSheetId="12">'WS G  State Tax Rate'!$A$3:$H$34</definedName>
    <definedName name="_xlnm.Print_Area" localSheetId="13">'WS H-p1 Other Taxes'!$A$3:$M$71</definedName>
    <definedName name="_xlnm.Print_Area" localSheetId="14">'WS H-p2 Detail of Tax Amts'!$A$1:$I$113</definedName>
    <definedName name="_xlnm.Print_Area" localSheetId="15">'WS I RESERVED'!$A$1:$J$11</definedName>
    <definedName name="_xlnm.Print_Area" localSheetId="16">'WS J PROJECTED RTEP RR'!$A$1:$O$1070</definedName>
    <definedName name="_xlnm.Print_Area" localSheetId="17">'WS K TRUE-UP RTEP RR'!$A$1:$P$1035</definedName>
    <definedName name="_xlnm.Print_Area" localSheetId="18">'WS L RESERVED'!$A$1:$F$11</definedName>
    <definedName name="_xlnm.Print_Area" localSheetId="20">'WS N - Sale of Plant Held'!$A$1:$U$35</definedName>
    <definedName name="_xlnm.Print_Area" localSheetId="22">'WS P Dep. Rates'!$A$1:$F$48</definedName>
    <definedName name="_xlnm.Print_Area" localSheetId="23">'WS Q Cap Structure'!$A$1:$J$237</definedName>
    <definedName name="_xlnm.Print_Area" localSheetId="24">'WS R Interest'!$A$1:$L$63</definedName>
    <definedName name="_xlnm.Print_Area">#REF!</definedName>
    <definedName name="_xlnm.Print_Titles" localSheetId="1">'WS A - Rate Base Support'!$1:$5</definedName>
    <definedName name="_xlnm.Print_Titles" localSheetId="8">'WS C  - Working Capital'!$3:$9</definedName>
    <definedName name="_xlnm.Print_Titles" localSheetId="13">'WS H-p1 Other Taxes'!$3:$7</definedName>
    <definedName name="_xlnm.Print_Titles" localSheetId="14">'WS H-p2 Detail of Tax Amts'!$3:$6</definedName>
    <definedName name="_xlnm.Print_Titles" localSheetId="19">'WS M - Cost of Capital'!$1:$5</definedName>
    <definedName name="_xlnm.Print_Titles" localSheetId="22">'WS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4">#REF!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1" hidden="1">'Worksheet O'!#REF!</definedName>
    <definedName name="Z_3768C7C8_9953_11DA_B318_000FB55D51DC_.wvu.PrintArea" localSheetId="8" hidden="1">'WS C  - Working Capital'!$A$10:$N$80</definedName>
    <definedName name="Z_3768C7C8_9953_11DA_B318_000FB55D51DC_.wvu.PrintTitles" localSheetId="21" hidden="1">'Worksheet O'!#REF!</definedName>
    <definedName name="Z_3768C7C8_9953_11DA_B318_000FB55D51DC_.wvu.PrintTitles" localSheetId="8" hidden="1">'WS C  - Working Capital'!#REF!</definedName>
    <definedName name="Z_3768C7C8_9953_11DA_B318_000FB55D51DC_.wvu.Rows" localSheetId="21" hidden="1">'Worksheet O'!#REF!</definedName>
    <definedName name="Z_3768C7C8_9953_11DA_B318_000FB55D51DC_.wvu.Rows" localSheetId="8" hidden="1">'WS C  - Working Capital'!#REF!</definedName>
    <definedName name="Z_3BDD6235_B127_4929_8311_BDAF7BB89818_.wvu.PrintArea" localSheetId="21" hidden="1">'Worksheet O'!#REF!</definedName>
    <definedName name="Z_3BDD6235_B127_4929_8311_BDAF7BB89818_.wvu.PrintArea" localSheetId="8" hidden="1">'WS C  - Working Capital'!$A$10:$N$80</definedName>
    <definedName name="Z_3BDD6235_B127_4929_8311_BDAF7BB89818_.wvu.PrintTitles" localSheetId="21" hidden="1">'Worksheet O'!#REF!</definedName>
    <definedName name="Z_3BDD6235_B127_4929_8311_BDAF7BB89818_.wvu.PrintTitles" localSheetId="8" hidden="1">'WS C  - Working Capital'!#REF!</definedName>
    <definedName name="Z_3BDD6235_B127_4929_8311_BDAF7BB89818_.wvu.Rows" localSheetId="21" hidden="1">'Worksheet O'!#REF!</definedName>
    <definedName name="Z_3BDD6235_B127_4929_8311_BDAF7BB89818_.wvu.Rows" localSheetId="8" hidden="1">'WS C  - Working Capital'!#REF!</definedName>
    <definedName name="Z_B0241363_5C8A_48FC_89A6_56D55586BABE_.wvu.PrintArea" localSheetId="21" hidden="1">'Worksheet O'!#REF!</definedName>
    <definedName name="Z_B0241363_5C8A_48FC_89A6_56D55586BABE_.wvu.PrintArea" localSheetId="8" hidden="1">'WS C  - Working Capital'!$A$10:$N$80</definedName>
    <definedName name="Z_B0241363_5C8A_48FC_89A6_56D55586BABE_.wvu.PrintTitles" localSheetId="21" hidden="1">'Worksheet O'!#REF!</definedName>
    <definedName name="Z_B0241363_5C8A_48FC_89A6_56D55586BABE_.wvu.PrintTitles" localSheetId="8" hidden="1">'WS C  - Working Capital'!#REF!</definedName>
    <definedName name="Z_B0241363_5C8A_48FC_89A6_56D55586BABE_.wvu.Rows" localSheetId="21" hidden="1">'Worksheet O'!#REF!</definedName>
    <definedName name="Z_B0241363_5C8A_48FC_89A6_56D55586BABE_.wvu.Rows" localSheetId="8" hidden="1">'WS C  - Working Capital'!#REF!</definedName>
    <definedName name="Z_C0EA0F9F_7310_4201_82C9_7B8FC8DB9137_.wvu.PrintArea" localSheetId="21" hidden="1">'Worksheet O'!#REF!</definedName>
    <definedName name="Z_C0EA0F9F_7310_4201_82C9_7B8FC8DB9137_.wvu.PrintArea" localSheetId="8" hidden="1">'WS C  - Working Capital'!$A$10:$N$80</definedName>
    <definedName name="Z_C0EA0F9F_7310_4201_82C9_7B8FC8DB9137_.wvu.PrintTitles" localSheetId="21" hidden="1">'Worksheet O'!#REF!</definedName>
    <definedName name="Z_C0EA0F9F_7310_4201_82C9_7B8FC8DB9137_.wvu.PrintTitles" localSheetId="8" hidden="1">'WS C  - Working Capital'!#REF!</definedName>
    <definedName name="Z_C0EA0F9F_7310_4201_82C9_7B8FC8DB9137_.wvu.Rows" localSheetId="21" hidden="1">'Worksheet O'!#REF!</definedName>
    <definedName name="Z_C0EA0F9F_7310_4201_82C9_7B8FC8DB9137_.wvu.Rows" localSheetId="8" hidden="1">'WS C  - Working Capital'!#REF!</definedName>
    <definedName name="Z_C5140E12_E05E_4473_9142_42F37320A417_.wvu.Cols" localSheetId="14" hidden="1">'WS H-p2 Detail of Tax Amts'!$F:$F</definedName>
    <definedName name="Z_C5140E12_E05E_4473_9142_42F37320A417_.wvu.PrintArea" localSheetId="14" hidden="1">'WS H-p2 Detail of Tax Amts'!$A$3:$F$103</definedName>
    <definedName name="Z_C5140E12_E05E_4473_9142_42F37320A417_.wvu.PrintArea" localSheetId="16" hidden="1">'WS J PROJECTED RTEP RR'!$A$3:$O$83</definedName>
    <definedName name="Z_C5140E12_E05E_4473_9142_42F37320A417_.wvu.PrintTitles" localSheetId="14"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J29" i="44" l="1"/>
  <c r="N24" i="44"/>
  <c r="E20" i="44"/>
  <c r="D20" i="44"/>
  <c r="D23" i="44" s="1"/>
  <c r="D29" i="44" s="1"/>
  <c r="D18" i="44"/>
  <c r="N25" i="44" s="1"/>
  <c r="A16" i="44"/>
  <c r="A17" i="44" s="1"/>
  <c r="A18" i="44" s="1"/>
  <c r="A19" i="44" s="1"/>
  <c r="A20" i="44" s="1"/>
  <c r="A21" i="44" s="1"/>
  <c r="A22" i="44" s="1"/>
  <c r="A23" i="44" s="1"/>
  <c r="A24" i="44" s="1"/>
  <c r="A25" i="44" s="1"/>
  <c r="A26" i="44" s="1"/>
  <c r="A27" i="44" s="1"/>
  <c r="A28" i="44" s="1"/>
  <c r="A29" i="44" s="1"/>
  <c r="N29" i="44" l="1"/>
  <c r="D25" i="44"/>
  <c r="F25" i="44" s="1"/>
  <c r="L25" i="44" l="1"/>
  <c r="F26" i="44"/>
  <c r="L26" i="44" s="1"/>
  <c r="H25" i="44"/>
  <c r="F29" i="44" l="1"/>
  <c r="L29" i="44"/>
  <c r="D18" i="40" l="1"/>
  <c r="M29" i="42"/>
  <c r="Q29" i="42" s="1"/>
  <c r="M28" i="42"/>
  <c r="D62" i="36"/>
  <c r="J44" i="36"/>
  <c r="F23" i="43"/>
  <c r="D21" i="43"/>
  <c r="H21" i="43" s="1"/>
  <c r="L17" i="43"/>
  <c r="O17" i="43" s="1"/>
  <c r="H17" i="43"/>
  <c r="J15" i="43"/>
  <c r="J21" i="43" s="1"/>
  <c r="L21" i="43" s="1"/>
  <c r="D15" i="43"/>
  <c r="H15" i="43" s="1"/>
  <c r="A14" i="43"/>
  <c r="A15" i="43" s="1"/>
  <c r="A17" i="43" s="1"/>
  <c r="A19" i="43" s="1"/>
  <c r="A20" i="43" s="1"/>
  <c r="A21" i="43" s="1"/>
  <c r="A23" i="43" s="1"/>
  <c r="D23" i="40"/>
  <c r="D30" i="40"/>
  <c r="N32" i="42"/>
  <c r="D67" i="36"/>
  <c r="D66" i="36"/>
  <c r="C67" i="36"/>
  <c r="R21" i="42"/>
  <c r="R20" i="42"/>
  <c r="Q23" i="42"/>
  <c r="Q14" i="42"/>
  <c r="D31" i="37"/>
  <c r="D32" i="37"/>
  <c r="C60" i="36"/>
  <c r="D60" i="36"/>
  <c r="I60" i="36"/>
  <c r="J60" i="36"/>
  <c r="K60" i="36"/>
  <c r="C61" i="36"/>
  <c r="D61" i="36"/>
  <c r="I61" i="36"/>
  <c r="J61" i="36"/>
  <c r="K61" i="36"/>
  <c r="C59" i="36"/>
  <c r="D59" i="36"/>
  <c r="I59" i="36"/>
  <c r="J59" i="36"/>
  <c r="K59" i="36"/>
  <c r="G217" i="2"/>
  <c r="E68" i="9"/>
  <c r="E69" i="9"/>
  <c r="F70" i="9"/>
  <c r="F73" i="9" s="1"/>
  <c r="G145" i="2" s="1"/>
  <c r="L145" i="2" s="1"/>
  <c r="E71" i="9"/>
  <c r="E67" i="9"/>
  <c r="E50" i="9"/>
  <c r="E51" i="9"/>
  <c r="E52" i="9"/>
  <c r="E48" i="9"/>
  <c r="E37" i="9"/>
  <c r="E38" i="9"/>
  <c r="F39" i="9"/>
  <c r="F44" i="9" s="1"/>
  <c r="G143" i="2" s="1"/>
  <c r="E36" i="9"/>
  <c r="L42" i="2"/>
  <c r="K17" i="8"/>
  <c r="K27" i="8" s="1"/>
  <c r="K31" i="8" s="1"/>
  <c r="G15" i="2" s="1"/>
  <c r="L15" i="2" s="1"/>
  <c r="I65" i="6"/>
  <c r="K65" i="6" s="1"/>
  <c r="E65" i="6" s="1"/>
  <c r="I64" i="6"/>
  <c r="K64" i="6" s="1"/>
  <c r="E64" i="6" s="1"/>
  <c r="I40" i="6"/>
  <c r="K40" i="6" s="1"/>
  <c r="E40" i="6" s="1"/>
  <c r="I41" i="6"/>
  <c r="K41" i="6" s="1"/>
  <c r="E41" i="6" s="1"/>
  <c r="I39" i="6"/>
  <c r="I63" i="6"/>
  <c r="K63" i="6" s="1"/>
  <c r="E63" i="6" s="1"/>
  <c r="D65" i="36"/>
  <c r="D48" i="36"/>
  <c r="D47" i="36"/>
  <c r="K62" i="36"/>
  <c r="I62" i="36"/>
  <c r="C62" i="36"/>
  <c r="E63" i="36" s="1"/>
  <c r="K44" i="36"/>
  <c r="I44" i="36"/>
  <c r="C44" i="36"/>
  <c r="E45" i="36" s="1"/>
  <c r="C45" i="36" s="1"/>
  <c r="K27" i="37"/>
  <c r="I27" i="37"/>
  <c r="C27" i="37"/>
  <c r="E28" i="37" s="1"/>
  <c r="C28" i="37" s="1"/>
  <c r="N72" i="36"/>
  <c r="N78" i="36" s="1"/>
  <c r="N51" i="36"/>
  <c r="L43" i="2"/>
  <c r="K40" i="36"/>
  <c r="J40" i="36"/>
  <c r="I40" i="36"/>
  <c r="D40" i="36"/>
  <c r="C40" i="36"/>
  <c r="K20" i="37"/>
  <c r="J20" i="37"/>
  <c r="I20" i="37"/>
  <c r="D20" i="37"/>
  <c r="C20" i="37"/>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C39" i="41"/>
  <c r="C40" i="41" s="1"/>
  <c r="C41" i="41" s="1"/>
  <c r="C42" i="41" s="1"/>
  <c r="C43" i="41" s="1"/>
  <c r="C44" i="41" s="1"/>
  <c r="C45" i="41" s="1"/>
  <c r="C46" i="41" s="1"/>
  <c r="C47" i="41" s="1"/>
  <c r="C48" i="41" s="1"/>
  <c r="C49" i="41" s="1"/>
  <c r="C50" i="41" s="1"/>
  <c r="C36" i="41"/>
  <c r="C21" i="41"/>
  <c r="C22" i="41" s="1"/>
  <c r="C23" i="41" s="1"/>
  <c r="C24" i="41" s="1"/>
  <c r="C25" i="41" s="1"/>
  <c r="C26" i="41" s="1"/>
  <c r="C27" i="41" s="1"/>
  <c r="C28" i="41" s="1"/>
  <c r="C29" i="41" s="1"/>
  <c r="C30" i="41" s="1"/>
  <c r="C31" i="41" s="1"/>
  <c r="C32" i="41" s="1"/>
  <c r="B8" i="41"/>
  <c r="B8" i="35"/>
  <c r="E18" i="5"/>
  <c r="G18" i="5"/>
  <c r="J962" i="13"/>
  <c r="L956" i="13" s="1"/>
  <c r="J875" i="13"/>
  <c r="L869" i="13" s="1"/>
  <c r="J788" i="13"/>
  <c r="L782" i="13" s="1"/>
  <c r="J701" i="13"/>
  <c r="L695" i="13" s="1"/>
  <c r="J614" i="13"/>
  <c r="L608" i="13" s="1"/>
  <c r="J527" i="13"/>
  <c r="L521" i="13" s="1"/>
  <c r="J440" i="13"/>
  <c r="L434" i="13" s="1"/>
  <c r="J353" i="13"/>
  <c r="L347" i="13" s="1"/>
  <c r="J266" i="13"/>
  <c r="L260" i="13" s="1"/>
  <c r="J179" i="13"/>
  <c r="L173" i="13" s="1"/>
  <c r="P32" i="42"/>
  <c r="O32" i="42"/>
  <c r="L32" i="42"/>
  <c r="K32" i="42"/>
  <c r="B32" i="42"/>
  <c r="Q27" i="42"/>
  <c r="Q22" i="42"/>
  <c r="R19" i="42"/>
  <c r="Q18" i="42"/>
  <c r="Q17" i="42"/>
  <c r="R16" i="42"/>
  <c r="R15" i="42"/>
  <c r="Q13" i="42"/>
  <c r="E43" i="32"/>
  <c r="D42" i="32"/>
  <c r="C42" i="32"/>
  <c r="E41" i="32"/>
  <c r="E40" i="32"/>
  <c r="F64" i="9"/>
  <c r="G144" i="2" s="1"/>
  <c r="C29" i="36"/>
  <c r="D29" i="36"/>
  <c r="I29" i="36"/>
  <c r="J29" i="36"/>
  <c r="K29" i="36"/>
  <c r="C30" i="36"/>
  <c r="D30" i="36"/>
  <c r="I30" i="36"/>
  <c r="J30" i="36"/>
  <c r="K30" i="36"/>
  <c r="C31" i="36"/>
  <c r="D31" i="36"/>
  <c r="I31" i="36"/>
  <c r="J31" i="36"/>
  <c r="K31" i="36"/>
  <c r="C32" i="36"/>
  <c r="D32" i="36"/>
  <c r="I32" i="36"/>
  <c r="J32" i="36"/>
  <c r="K32" i="36"/>
  <c r="C33" i="36"/>
  <c r="D33" i="36"/>
  <c r="I33" i="36"/>
  <c r="J33" i="36"/>
  <c r="K33"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E42" i="5"/>
  <c r="G42" i="5"/>
  <c r="C30" i="37"/>
  <c r="D30" i="37"/>
  <c r="C31" i="37"/>
  <c r="C32" i="37"/>
  <c r="C33" i="37"/>
  <c r="D33" i="37"/>
  <c r="C34" i="37"/>
  <c r="D34" i="37"/>
  <c r="D29" i="37"/>
  <c r="C29" i="37"/>
  <c r="E34" i="5"/>
  <c r="G34" i="5"/>
  <c r="E26" i="5"/>
  <c r="G26" i="5"/>
  <c r="C47" i="36"/>
  <c r="C48" i="36"/>
  <c r="D46" i="36"/>
  <c r="C46" i="36"/>
  <c r="C66" i="36"/>
  <c r="C65" i="36"/>
  <c r="O1028" i="13"/>
  <c r="M1028" i="13"/>
  <c r="O1027" i="13"/>
  <c r="M1027" i="13"/>
  <c r="O1026" i="13"/>
  <c r="M1026" i="13"/>
  <c r="O1025" i="13"/>
  <c r="M1025" i="13"/>
  <c r="O1024" i="13"/>
  <c r="M1024" i="13"/>
  <c r="O1023" i="13"/>
  <c r="M1023" i="13"/>
  <c r="O1022" i="13"/>
  <c r="M1022" i="13"/>
  <c r="O1021" i="13"/>
  <c r="M1021" i="13"/>
  <c r="O1020" i="13"/>
  <c r="M1020" i="13"/>
  <c r="O1019" i="13"/>
  <c r="M1019" i="13"/>
  <c r="O1018" i="13"/>
  <c r="M1018" i="13"/>
  <c r="O1017" i="13"/>
  <c r="M1017" i="13"/>
  <c r="O1016" i="13"/>
  <c r="M1016" i="13"/>
  <c r="O1015" i="13"/>
  <c r="M1015" i="13"/>
  <c r="O1014" i="13"/>
  <c r="M1014" i="13"/>
  <c r="O1013" i="13"/>
  <c r="M1013" i="13"/>
  <c r="O1012" i="13"/>
  <c r="M1012" i="13"/>
  <c r="O1011" i="13"/>
  <c r="M1011" i="13"/>
  <c r="O1010" i="13"/>
  <c r="M1010" i="13"/>
  <c r="O1009" i="13"/>
  <c r="M1009" i="13"/>
  <c r="O1008" i="13"/>
  <c r="M1008" i="13"/>
  <c r="O1007" i="13"/>
  <c r="M1007" i="13"/>
  <c r="O1006" i="13"/>
  <c r="M1006" i="13"/>
  <c r="O1005" i="13"/>
  <c r="M1005" i="13"/>
  <c r="O1004" i="13"/>
  <c r="M1004" i="13"/>
  <c r="O1003" i="13"/>
  <c r="M1003" i="13"/>
  <c r="O1002" i="13"/>
  <c r="M1002" i="13"/>
  <c r="O1001" i="13"/>
  <c r="M1001" i="13"/>
  <c r="O1000" i="13"/>
  <c r="M1000" i="13"/>
  <c r="O999" i="13"/>
  <c r="M999" i="13"/>
  <c r="O998" i="13"/>
  <c r="M998" i="13"/>
  <c r="O997" i="13"/>
  <c r="M997" i="13"/>
  <c r="O996" i="13"/>
  <c r="M996" i="13"/>
  <c r="O995" i="13"/>
  <c r="M995" i="13"/>
  <c r="O994" i="13"/>
  <c r="M994" i="13"/>
  <c r="O993" i="13"/>
  <c r="M993" i="13"/>
  <c r="O992" i="13"/>
  <c r="M992" i="13"/>
  <c r="O991" i="13"/>
  <c r="M991" i="13"/>
  <c r="O990" i="13"/>
  <c r="M990" i="13"/>
  <c r="O989" i="13"/>
  <c r="M989" i="13"/>
  <c r="O988" i="13"/>
  <c r="M988" i="13"/>
  <c r="O987" i="13"/>
  <c r="M987" i="13"/>
  <c r="O986" i="13"/>
  <c r="M986" i="13"/>
  <c r="O985" i="13"/>
  <c r="M985" i="13"/>
  <c r="O984" i="13"/>
  <c r="M984" i="13"/>
  <c r="O983" i="13"/>
  <c r="M983" i="13"/>
  <c r="O982" i="13"/>
  <c r="M982" i="13"/>
  <c r="O981" i="13"/>
  <c r="M981" i="13"/>
  <c r="O980" i="13"/>
  <c r="M980" i="13"/>
  <c r="O979" i="13"/>
  <c r="M979" i="13"/>
  <c r="O978" i="13"/>
  <c r="M978" i="13"/>
  <c r="O977" i="13"/>
  <c r="M977" i="13"/>
  <c r="O976" i="13"/>
  <c r="M976" i="13"/>
  <c r="O975" i="13"/>
  <c r="M975" i="13"/>
  <c r="D969" i="13"/>
  <c r="C969" i="13"/>
  <c r="C970" i="13" s="1"/>
  <c r="C971" i="13" s="1"/>
  <c r="C972" i="13" s="1"/>
  <c r="C973" i="13" s="1"/>
  <c r="C974" i="13" s="1"/>
  <c r="C975" i="13" s="1"/>
  <c r="C976" i="13" s="1"/>
  <c r="C977" i="13" s="1"/>
  <c r="C978" i="13" s="1"/>
  <c r="C979" i="13" s="1"/>
  <c r="C980" i="13" s="1"/>
  <c r="C981" i="13" s="1"/>
  <c r="C982" i="13" s="1"/>
  <c r="C983" i="13" s="1"/>
  <c r="C984" i="13" s="1"/>
  <c r="C985" i="13" s="1"/>
  <c r="C986" i="13" s="1"/>
  <c r="C987" i="13" s="1"/>
  <c r="C988" i="13" s="1"/>
  <c r="C989" i="13" s="1"/>
  <c r="C990" i="13" s="1"/>
  <c r="C991" i="13" s="1"/>
  <c r="C992" i="13" s="1"/>
  <c r="C993" i="13" s="1"/>
  <c r="C994" i="13" s="1"/>
  <c r="C995" i="13" s="1"/>
  <c r="C996" i="13" s="1"/>
  <c r="C997" i="13" s="1"/>
  <c r="C998" i="13" s="1"/>
  <c r="L964" i="13"/>
  <c r="J963" i="13"/>
  <c r="P950" i="13"/>
  <c r="O950" i="13"/>
  <c r="A950"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90" i="13"/>
  <c r="M890" i="13"/>
  <c r="O889" i="13"/>
  <c r="M889" i="13"/>
  <c r="O882" i="13"/>
  <c r="M882" i="13"/>
  <c r="D882" i="13"/>
  <c r="C882" i="13"/>
  <c r="C883" i="13" s="1"/>
  <c r="C884" i="13" s="1"/>
  <c r="C885" i="13" s="1"/>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C915" i="13" s="1"/>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L877" i="13"/>
  <c r="J876" i="13"/>
  <c r="P863" i="13"/>
  <c r="O863" i="13"/>
  <c r="A863"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805" i="13"/>
  <c r="M805" i="13"/>
  <c r="O804" i="13"/>
  <c r="M804" i="13"/>
  <c r="O796" i="13"/>
  <c r="M796" i="13"/>
  <c r="O795" i="13"/>
  <c r="M795" i="13"/>
  <c r="D795" i="13"/>
  <c r="C795" i="13"/>
  <c r="C796" i="13" s="1"/>
  <c r="C797" i="13" s="1"/>
  <c r="C798" i="13" s="1"/>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C826" i="13" s="1"/>
  <c r="C827" i="13" s="1"/>
  <c r="C828" i="13" s="1"/>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L790" i="13"/>
  <c r="J789" i="13"/>
  <c r="P776" i="13"/>
  <c r="O776" i="13"/>
  <c r="A776"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O717" i="13"/>
  <c r="M717" i="13"/>
  <c r="O716" i="13"/>
  <c r="M716" i="13"/>
  <c r="D708" i="13"/>
  <c r="C708" i="13"/>
  <c r="C709" i="13" s="1"/>
  <c r="C710" i="13" s="1"/>
  <c r="C711" i="13" s="1"/>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L703" i="13"/>
  <c r="J702" i="13"/>
  <c r="P689" i="13"/>
  <c r="O689" i="13"/>
  <c r="A689"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O630" i="13"/>
  <c r="M630" i="13"/>
  <c r="O629" i="13"/>
  <c r="M629" i="13"/>
  <c r="D621" i="13"/>
  <c r="C621" i="13"/>
  <c r="C622" i="13" s="1"/>
  <c r="C623" i="13" s="1"/>
  <c r="C624" i="13" s="1"/>
  <c r="C625" i="13" s="1"/>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s="1"/>
  <c r="C654" i="13" s="1"/>
  <c r="C655" i="13" s="1"/>
  <c r="C656" i="13" s="1"/>
  <c r="C657" i="13" s="1"/>
  <c r="C658" i="13" s="1"/>
  <c r="C659" i="13" s="1"/>
  <c r="C660" i="13" s="1"/>
  <c r="C661" i="13" s="1"/>
  <c r="C662" i="13" s="1"/>
  <c r="C663" i="13" s="1"/>
  <c r="C664" i="13" s="1"/>
  <c r="C665" i="13" s="1"/>
  <c r="C666" i="13" s="1"/>
  <c r="C667" i="13" s="1"/>
  <c r="C668" i="13" s="1"/>
  <c r="C669" i="13" s="1"/>
  <c r="C670" i="13" s="1"/>
  <c r="C671" i="13" s="1"/>
  <c r="C672" i="13" s="1"/>
  <c r="C673" i="13" s="1"/>
  <c r="C674" i="13" s="1"/>
  <c r="C675" i="13" s="1"/>
  <c r="C676" i="13" s="1"/>
  <c r="C677" i="13" s="1"/>
  <c r="C678" i="13" s="1"/>
  <c r="C679" i="13" s="1"/>
  <c r="C680" i="13" s="1"/>
  <c r="L616" i="13"/>
  <c r="J615" i="13"/>
  <c r="P602" i="13"/>
  <c r="O602" i="13"/>
  <c r="A602"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45" i="13"/>
  <c r="M545" i="13"/>
  <c r="O544" i="13"/>
  <c r="M544" i="13"/>
  <c r="O543" i="13"/>
  <c r="M543" i="13"/>
  <c r="O542" i="13"/>
  <c r="M542" i="13"/>
  <c r="D534" i="13"/>
  <c r="C534" i="13"/>
  <c r="C535" i="13" s="1"/>
  <c r="C536" i="13" s="1"/>
  <c r="C537" i="13" s="1"/>
  <c r="C538" i="13" s="1"/>
  <c r="C539" i="13" s="1"/>
  <c r="C540" i="13" s="1"/>
  <c r="C541" i="13" s="1"/>
  <c r="C542" i="13" s="1"/>
  <c r="C543" i="13" s="1"/>
  <c r="C544" i="13" s="1"/>
  <c r="C545" i="13" s="1"/>
  <c r="C546" i="13" s="1"/>
  <c r="C547" i="13" s="1"/>
  <c r="C548" i="13" s="1"/>
  <c r="C549" i="13" s="1"/>
  <c r="C550" i="13" s="1"/>
  <c r="C551" i="13" s="1"/>
  <c r="C552" i="13" s="1"/>
  <c r="C553" i="13" s="1"/>
  <c r="C554" i="13" s="1"/>
  <c r="C555" i="13" s="1"/>
  <c r="C556" i="13" s="1"/>
  <c r="C557" i="13" s="1"/>
  <c r="C558" i="13" s="1"/>
  <c r="C559" i="13" s="1"/>
  <c r="C560" i="13" s="1"/>
  <c r="C561" i="13" s="1"/>
  <c r="C562" i="13" s="1"/>
  <c r="C563" i="13" s="1"/>
  <c r="L529" i="13"/>
  <c r="J528" i="13"/>
  <c r="P515" i="13"/>
  <c r="O515" i="13"/>
  <c r="A515"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O459" i="13"/>
  <c r="M459" i="13"/>
  <c r="O458" i="13"/>
  <c r="M458" i="13"/>
  <c r="O457" i="13"/>
  <c r="M457" i="13"/>
  <c r="O456" i="13"/>
  <c r="M456" i="13"/>
  <c r="O455" i="13"/>
  <c r="M455" i="13"/>
  <c r="D447" i="13"/>
  <c r="C447" i="13"/>
  <c r="C448" i="13" s="1"/>
  <c r="C449" i="13" s="1"/>
  <c r="C450" i="13" s="1"/>
  <c r="C451" i="13" s="1"/>
  <c r="C452" i="13" s="1"/>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C478" i="13" s="1"/>
  <c r="C479" i="13" s="1"/>
  <c r="C480" i="13" s="1"/>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L442" i="13"/>
  <c r="J441" i="13"/>
  <c r="P428" i="13"/>
  <c r="O428" i="13"/>
  <c r="A428"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O370" i="13"/>
  <c r="M370" i="13"/>
  <c r="O369" i="13"/>
  <c r="M369" i="13"/>
  <c r="O368" i="13"/>
  <c r="M368" i="13"/>
  <c r="D360" i="13"/>
  <c r="C360" i="13"/>
  <c r="C361" i="13" s="1"/>
  <c r="C362" i="13" s="1"/>
  <c r="C363" i="13" s="1"/>
  <c r="C364" i="13" s="1"/>
  <c r="C365" i="13" s="1"/>
  <c r="C366" i="13" s="1"/>
  <c r="C367" i="13" s="1"/>
  <c r="C368" i="13" s="1"/>
  <c r="C369" i="13" s="1"/>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L355" i="13"/>
  <c r="J354" i="13"/>
  <c r="P341" i="13"/>
  <c r="O341" i="13"/>
  <c r="A341"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O285" i="13"/>
  <c r="M285" i="13"/>
  <c r="O284" i="13"/>
  <c r="M284" i="13"/>
  <c r="O283" i="13"/>
  <c r="M283" i="13"/>
  <c r="O282" i="13"/>
  <c r="M282" i="13"/>
  <c r="D273" i="13"/>
  <c r="C273" i="13"/>
  <c r="C274" i="13" s="1"/>
  <c r="C275" i="13" s="1"/>
  <c r="C276" i="13" s="1"/>
  <c r="C277" i="13" s="1"/>
  <c r="C278" i="13" s="1"/>
  <c r="C279" i="13" s="1"/>
  <c r="C280" i="13" s="1"/>
  <c r="C281" i="13" s="1"/>
  <c r="C282" i="13" s="1"/>
  <c r="C283" i="13" s="1"/>
  <c r="C284" i="13" s="1"/>
  <c r="C285" i="13" s="1"/>
  <c r="C286" i="13" s="1"/>
  <c r="C287" i="13" s="1"/>
  <c r="C288" i="13" s="1"/>
  <c r="C289" i="13" s="1"/>
  <c r="C290" i="13" s="1"/>
  <c r="C291" i="13" s="1"/>
  <c r="C292" i="13" s="1"/>
  <c r="C293" i="13" s="1"/>
  <c r="C294" i="13" s="1"/>
  <c r="C295" i="13" s="1"/>
  <c r="C296" i="13" s="1"/>
  <c r="C297" i="13" s="1"/>
  <c r="C298" i="13" s="1"/>
  <c r="C299" i="13" s="1"/>
  <c r="C300" i="13" s="1"/>
  <c r="C301" i="13" s="1"/>
  <c r="C302" i="13" s="1"/>
  <c r="L268" i="13"/>
  <c r="J267" i="13"/>
  <c r="P254" i="13"/>
  <c r="O254" i="13"/>
  <c r="A254"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O198" i="13"/>
  <c r="M198" i="13"/>
  <c r="O197" i="13"/>
  <c r="M197" i="13"/>
  <c r="O196" i="13"/>
  <c r="M196" i="13"/>
  <c r="O195" i="13"/>
  <c r="M195" i="13"/>
  <c r="D186" i="13"/>
  <c r="C186" i="13"/>
  <c r="C187" i="13" s="1"/>
  <c r="C188" i="13" s="1"/>
  <c r="C189" i="13" s="1"/>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224" i="13" s="1"/>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L181" i="13"/>
  <c r="J180" i="13"/>
  <c r="P167" i="13"/>
  <c r="O167" i="13"/>
  <c r="A167" i="13"/>
  <c r="G141" i="2"/>
  <c r="G15" i="41"/>
  <c r="G21" i="41" s="1"/>
  <c r="G22" i="41" s="1"/>
  <c r="M105" i="20"/>
  <c r="G142" i="2"/>
  <c r="H22" i="41"/>
  <c r="H23" i="41" s="1"/>
  <c r="H24" i="41" s="1"/>
  <c r="H25" i="41" s="1"/>
  <c r="H26" i="41" s="1"/>
  <c r="H27" i="41" s="1"/>
  <c r="H28" i="41" s="1"/>
  <c r="H29" i="41" s="1"/>
  <c r="H30" i="41" s="1"/>
  <c r="H31" i="41" s="1"/>
  <c r="H32" i="41" s="1"/>
  <c r="I10" i="41"/>
  <c r="E21" i="41" s="1"/>
  <c r="E22" i="41" s="1"/>
  <c r="E23" i="41" s="1"/>
  <c r="E24" i="41" s="1"/>
  <c r="E25" i="41" s="1"/>
  <c r="E26" i="41" s="1"/>
  <c r="E27" i="41" s="1"/>
  <c r="E28" i="41" s="1"/>
  <c r="E29" i="41" s="1"/>
  <c r="E30" i="41" s="1"/>
  <c r="E31" i="41" s="1"/>
  <c r="E32" i="41" s="1"/>
  <c r="G10" i="41"/>
  <c r="C10" i="41"/>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D1001" i="20"/>
  <c r="C1001" i="20"/>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K996" i="20"/>
  <c r="I995" i="20"/>
  <c r="O982" i="20"/>
  <c r="N982" i="20"/>
  <c r="A982" i="20"/>
  <c r="D911" i="20"/>
  <c r="C911" i="20"/>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K726" i="20"/>
  <c r="I725" i="20"/>
  <c r="O712" i="20"/>
  <c r="N712" i="20"/>
  <c r="A712" i="20"/>
  <c r="D641" i="20"/>
  <c r="C641" i="20"/>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C697" i="20" s="1"/>
  <c r="C698" i="20" s="1"/>
  <c r="C699" i="20" s="1"/>
  <c r="C700"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9" i="39" s="1"/>
  <c r="A30" i="39" s="1"/>
  <c r="A31" i="39" s="1"/>
  <c r="A32" i="39" s="1"/>
  <c r="A33" i="39" s="1"/>
  <c r="A34" i="39" s="1"/>
  <c r="A35" i="39" s="1"/>
  <c r="A36" i="39" s="1"/>
  <c r="A37" i="39" s="1"/>
  <c r="A38" i="39" s="1"/>
  <c r="A39" i="39" s="1"/>
  <c r="A40" i="39" s="1"/>
  <c r="A41" i="39" s="1"/>
  <c r="A42" i="39" s="1"/>
  <c r="A48" i="39" s="1"/>
  <c r="A49" i="39" s="1"/>
  <c r="A50" i="39" s="1"/>
  <c r="A51" i="39" s="1"/>
  <c r="A52" i="39" s="1"/>
  <c r="A53" i="39" s="1"/>
  <c r="A54" i="39" s="1"/>
  <c r="A55" i="39" s="1"/>
  <c r="B57" i="39" s="1"/>
  <c r="A2" i="39"/>
  <c r="B6" i="14"/>
  <c r="A6" i="13"/>
  <c r="A6" i="20"/>
  <c r="A82"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6" i="2"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36" i="37"/>
  <c r="Q36" i="37"/>
  <c r="O36" i="37"/>
  <c r="N36" i="37"/>
  <c r="M36"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K17" i="37"/>
  <c r="J17" i="37"/>
  <c r="I17" i="37"/>
  <c r="D17" i="37"/>
  <c r="C17" i="37"/>
  <c r="S92" i="36"/>
  <c r="R92" i="36"/>
  <c r="E52" i="5" s="1"/>
  <c r="Q92" i="36"/>
  <c r="O92" i="36"/>
  <c r="N92" i="36"/>
  <c r="G52" i="5" s="1"/>
  <c r="M92" i="36"/>
  <c r="F92" i="36"/>
  <c r="E92" i="36"/>
  <c r="K90" i="36"/>
  <c r="J90" i="36"/>
  <c r="I90" i="36"/>
  <c r="D90" i="36"/>
  <c r="C90" i="36"/>
  <c r="K89" i="36"/>
  <c r="J89" i="36"/>
  <c r="I89" i="36"/>
  <c r="D89" i="36"/>
  <c r="C89" i="36"/>
  <c r="F76" i="36"/>
  <c r="E76" i="36"/>
  <c r="K75" i="36"/>
  <c r="J75" i="36"/>
  <c r="I75" i="36"/>
  <c r="D75" i="36"/>
  <c r="C75" i="36"/>
  <c r="A75" i="36"/>
  <c r="A78" i="36" s="1"/>
  <c r="S72" i="36"/>
  <c r="S78" i="36" s="1"/>
  <c r="Q72" i="36"/>
  <c r="Q78" i="36" s="1"/>
  <c r="O72" i="36"/>
  <c r="O78" i="36" s="1"/>
  <c r="M72" i="36"/>
  <c r="M78" i="36" s="1"/>
  <c r="D69" i="36"/>
  <c r="C69" i="36"/>
  <c r="D68" i="36"/>
  <c r="C68" i="36"/>
  <c r="D64" i="36"/>
  <c r="C64" i="36"/>
  <c r="K58" i="36"/>
  <c r="J58" i="36"/>
  <c r="I58" i="36"/>
  <c r="D58" i="36"/>
  <c r="C58" i="36"/>
  <c r="K57" i="36"/>
  <c r="J57" i="36"/>
  <c r="I57" i="36"/>
  <c r="D57" i="36"/>
  <c r="C57" i="36"/>
  <c r="A57" i="36"/>
  <c r="A58" i="36" s="1"/>
  <c r="A59" i="36" s="1"/>
  <c r="A60" i="36" s="1"/>
  <c r="A61" i="36" s="1"/>
  <c r="A62" i="36" s="1"/>
  <c r="A63" i="36" s="1"/>
  <c r="A64" i="36" s="1"/>
  <c r="A65" i="36" s="1"/>
  <c r="A66" i="36" s="1"/>
  <c r="A67" i="36" s="1"/>
  <c r="A68" i="36" s="1"/>
  <c r="A69" i="36" s="1"/>
  <c r="K56" i="36"/>
  <c r="J56" i="36"/>
  <c r="I56" i="36"/>
  <c r="D56" i="36"/>
  <c r="C56" i="36"/>
  <c r="A52" i="36"/>
  <c r="D26" i="5" s="1"/>
  <c r="S51" i="36"/>
  <c r="Q51" i="36"/>
  <c r="O51" i="36"/>
  <c r="M51" i="36"/>
  <c r="K43" i="36"/>
  <c r="J43" i="36"/>
  <c r="I43" i="36"/>
  <c r="D43" i="36"/>
  <c r="C43" i="36"/>
  <c r="K42" i="36"/>
  <c r="J42" i="36"/>
  <c r="I42" i="36"/>
  <c r="D42" i="36"/>
  <c r="C42" i="36"/>
  <c r="K41" i="36"/>
  <c r="J41" i="36"/>
  <c r="I41" i="36"/>
  <c r="D41" i="36"/>
  <c r="C41"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D100"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86" i="31"/>
  <c r="E38" i="11" s="1"/>
  <c r="K38" i="11" s="1"/>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161" i="2" s="1"/>
  <c r="E51" i="11"/>
  <c r="E53" i="11" s="1"/>
  <c r="E55" i="11" s="1"/>
  <c r="I51" i="11"/>
  <c r="I61" i="11" s="1"/>
  <c r="I63" i="11" s="1"/>
  <c r="I65" i="11" s="1"/>
  <c r="E66" i="11"/>
  <c r="E56" i="11"/>
  <c r="I66" i="11"/>
  <c r="I56" i="11"/>
  <c r="C50" i="11"/>
  <c r="M41" i="11"/>
  <c r="L214" i="2"/>
  <c r="L216" i="2"/>
  <c r="C31" i="34"/>
  <c r="C32" i="34" s="1"/>
  <c r="C37" i="34"/>
  <c r="C38" i="34" s="1"/>
  <c r="C43" i="34"/>
  <c r="C44" i="34" s="1"/>
  <c r="C49" i="34"/>
  <c r="E31" i="34"/>
  <c r="E32" i="34" s="1"/>
  <c r="E37" i="34"/>
  <c r="E38" i="34" s="1"/>
  <c r="E43" i="34"/>
  <c r="E44" i="34" s="1"/>
  <c r="E49" i="34"/>
  <c r="E50" i="34" s="1"/>
  <c r="F31" i="34"/>
  <c r="F32" i="34" s="1"/>
  <c r="F37" i="34"/>
  <c r="F38" i="34" s="1"/>
  <c r="F43" i="34"/>
  <c r="F44" i="34" s="1"/>
  <c r="F49" i="34"/>
  <c r="F50" i="34" s="1"/>
  <c r="G31" i="34"/>
  <c r="G32" i="34" s="1"/>
  <c r="G37" i="34"/>
  <c r="G38" i="34" s="1"/>
  <c r="G43" i="34"/>
  <c r="G49" i="34"/>
  <c r="G50" i="34" s="1"/>
  <c r="H31" i="34"/>
  <c r="H37" i="34"/>
  <c r="H38" i="34" s="1"/>
  <c r="H43" i="34"/>
  <c r="H44" i="34" s="1"/>
  <c r="H49" i="34"/>
  <c r="H50" i="34" s="1"/>
  <c r="I31" i="34"/>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F217" i="2"/>
  <c r="G55" i="6"/>
  <c r="G29" i="6" s="1"/>
  <c r="C21" i="7"/>
  <c r="C23" i="7" s="1"/>
  <c r="G110" i="2" s="1"/>
  <c r="L110" i="2" s="1"/>
  <c r="O17" i="21"/>
  <c r="O22" i="21"/>
  <c r="O27" i="21"/>
  <c r="E50" i="31"/>
  <c r="E26" i="11" s="1"/>
  <c r="I26" i="11" s="1"/>
  <c r="E52" i="31"/>
  <c r="E27" i="11" s="1"/>
  <c r="I27" i="11" s="1"/>
  <c r="E54" i="31"/>
  <c r="E28" i="11" s="1"/>
  <c r="I28" i="11" s="1"/>
  <c r="E37" i="31"/>
  <c r="E22" i="11" s="1"/>
  <c r="G22" i="11" s="1"/>
  <c r="E23" i="31"/>
  <c r="E20" i="11" s="1"/>
  <c r="E30" i="31"/>
  <c r="E21" i="11" s="1"/>
  <c r="G21" i="11" s="1"/>
  <c r="E14" i="31"/>
  <c r="E17" i="11" s="1"/>
  <c r="M17" i="11" s="1"/>
  <c r="E59" i="31"/>
  <c r="E31" i="11" s="1"/>
  <c r="M31" i="11" s="1"/>
  <c r="E62" i="31"/>
  <c r="E34" i="11" s="1"/>
  <c r="M34" i="11" s="1"/>
  <c r="E89" i="31"/>
  <c r="E39" i="11" s="1"/>
  <c r="M39" i="11" s="1"/>
  <c r="E95" i="31"/>
  <c r="E40" i="11" s="1"/>
  <c r="M40" i="11" s="1"/>
  <c r="E65" i="31"/>
  <c r="E35" i="11" s="1"/>
  <c r="K35" i="11" s="1"/>
  <c r="E69" i="31"/>
  <c r="E36" i="11" s="1"/>
  <c r="K36" i="11" s="1"/>
  <c r="E81" i="31"/>
  <c r="E37" i="11" s="1"/>
  <c r="K37" i="11" s="1"/>
  <c r="A10" i="34"/>
  <c r="A11" i="34" s="1"/>
  <c r="A12" i="34" s="1"/>
  <c r="A13" i="34" s="1"/>
  <c r="A14" i="34" s="1"/>
  <c r="A19" i="9"/>
  <c r="A20" i="9" s="1"/>
  <c r="A21" i="9" s="1"/>
  <c r="A24" i="9" s="1"/>
  <c r="A25" i="9" s="1"/>
  <c r="A26" i="9" s="1"/>
  <c r="A27" i="9" s="1"/>
  <c r="A28" i="9" s="1"/>
  <c r="A29" i="9" s="1"/>
  <c r="A30" i="9" s="1"/>
  <c r="A31" i="9" s="1"/>
  <c r="A32" i="9" s="1"/>
  <c r="A33" i="9" s="1"/>
  <c r="F118" i="34"/>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6" i="34"/>
  <c r="G118" i="34"/>
  <c r="G119" i="34" s="1"/>
  <c r="G124" i="34"/>
  <c r="G130" i="34"/>
  <c r="G131" i="34" s="1"/>
  <c r="G136" i="34"/>
  <c r="G137" i="34" s="1"/>
  <c r="H118" i="34"/>
  <c r="H119" i="34" s="1"/>
  <c r="H124" i="34"/>
  <c r="H125" i="34" s="1"/>
  <c r="H130" i="34"/>
  <c r="H131" i="34" s="1"/>
  <c r="H136" i="34"/>
  <c r="H137" i="34" s="1"/>
  <c r="I118" i="34"/>
  <c r="I119" i="34" s="1"/>
  <c r="I124" i="34"/>
  <c r="I125" i="34" s="1"/>
  <c r="I130" i="34"/>
  <c r="I136" i="34"/>
  <c r="I137" i="34" s="1"/>
  <c r="C118" i="34"/>
  <c r="C119" i="34" s="1"/>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F101" i="31"/>
  <c r="E98" i="31"/>
  <c r="A14" i="31"/>
  <c r="A22" i="31" s="1"/>
  <c r="I50" i="5"/>
  <c r="C60" i="13"/>
  <c r="K33" i="21"/>
  <c r="A22" i="21"/>
  <c r="A27" i="21" s="1"/>
  <c r="A33" i="21" s="1"/>
  <c r="D187" i="2" s="1"/>
  <c r="A6" i="21"/>
  <c r="M20" i="13"/>
  <c r="L26" i="20"/>
  <c r="I63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J13" i="8"/>
  <c r="A15" i="8"/>
  <c r="A17" i="8" s="1"/>
  <c r="J15" i="8"/>
  <c r="A27" i="8"/>
  <c r="A29" i="8" s="1"/>
  <c r="A31" i="8" s="1"/>
  <c r="E15" i="2" s="1"/>
  <c r="J19" i="8"/>
  <c r="J29" i="8"/>
  <c r="A15" i="7"/>
  <c r="A17" i="7" s="1"/>
  <c r="A18" i="7" s="1"/>
  <c r="A19" i="7" s="1"/>
  <c r="A21" i="7" s="1"/>
  <c r="A23" i="7" s="1"/>
  <c r="E110" i="2" s="1"/>
  <c r="A17" i="6"/>
  <c r="A17" i="5"/>
  <c r="A18"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H216" i="2"/>
  <c r="B15" i="2"/>
  <c r="B17" i="2" s="1"/>
  <c r="B18" i="2" s="1"/>
  <c r="B24" i="2" s="1"/>
  <c r="B26" i="2" s="1"/>
  <c r="B27" i="2" s="1"/>
  <c r="E25" i="34"/>
  <c r="E14" i="34"/>
  <c r="J12" i="34"/>
  <c r="C25" i="34"/>
  <c r="C198" i="34"/>
  <c r="L87" i="13"/>
  <c r="D79" i="6"/>
  <c r="D30" i="6" s="1"/>
  <c r="J55" i="6"/>
  <c r="J29" i="6" s="1"/>
  <c r="H150" i="34"/>
  <c r="G130" i="2"/>
  <c r="G157" i="2"/>
  <c r="J79" i="6"/>
  <c r="J30" i="6" s="1"/>
  <c r="G21" i="35"/>
  <c r="E65" i="2" l="1"/>
  <c r="C23" i="39"/>
  <c r="L226" i="2" s="1"/>
  <c r="P310" i="13"/>
  <c r="P648" i="13"/>
  <c r="P298" i="13"/>
  <c r="P306" i="13"/>
  <c r="P455" i="13"/>
  <c r="J17" i="8"/>
  <c r="P637" i="13"/>
  <c r="P986" i="13"/>
  <c r="H213" i="2"/>
  <c r="H217" i="2" s="1"/>
  <c r="P641" i="13"/>
  <c r="P645" i="13"/>
  <c r="G32" i="37"/>
  <c r="P1006" i="13"/>
  <c r="P1022" i="13"/>
  <c r="F79" i="34"/>
  <c r="P571" i="13"/>
  <c r="E51" i="36"/>
  <c r="G90" i="36"/>
  <c r="P318" i="13"/>
  <c r="P391" i="13"/>
  <c r="P915" i="13"/>
  <c r="P923" i="13"/>
  <c r="F23" i="39"/>
  <c r="L229" i="2" s="1"/>
  <c r="P740" i="13"/>
  <c r="P322" i="13"/>
  <c r="P483" i="13"/>
  <c r="R72" i="36"/>
  <c r="R78" i="36" s="1"/>
  <c r="E33" i="5" s="1"/>
  <c r="G66" i="36"/>
  <c r="G32" i="36"/>
  <c r="O21" i="43"/>
  <c r="G69" i="36"/>
  <c r="G21" i="36"/>
  <c r="D92" i="36"/>
  <c r="G19" i="37"/>
  <c r="J62" i="36"/>
  <c r="J72" i="36" s="1"/>
  <c r="J78" i="36" s="1"/>
  <c r="D55" i="6"/>
  <c r="D29" i="6" s="1"/>
  <c r="D31" i="6" s="1"/>
  <c r="P553" i="13"/>
  <c r="P557" i="13"/>
  <c r="P569" i="13"/>
  <c r="P746" i="13"/>
  <c r="P754" i="13"/>
  <c r="P762" i="13"/>
  <c r="E93" i="2"/>
  <c r="E19" i="5"/>
  <c r="C79" i="34"/>
  <c r="P643" i="13"/>
  <c r="P679" i="13"/>
  <c r="P296" i="13"/>
  <c r="G28" i="36"/>
  <c r="P320" i="13"/>
  <c r="G61" i="36"/>
  <c r="P1008" i="13"/>
  <c r="P1012" i="13"/>
  <c r="P1020" i="13"/>
  <c r="P1028" i="13"/>
  <c r="D23" i="39"/>
  <c r="E74" i="39" s="1"/>
  <c r="E76" i="39" s="1"/>
  <c r="J198" i="34"/>
  <c r="D44" i="36"/>
  <c r="F45" i="36" s="1"/>
  <c r="F51" i="36" s="1"/>
  <c r="G79" i="34"/>
  <c r="P282" i="13"/>
  <c r="C166" i="34"/>
  <c r="P629" i="13"/>
  <c r="E226" i="2"/>
  <c r="I53" i="11"/>
  <c r="I55" i="11" s="1"/>
  <c r="P819" i="13"/>
  <c r="P827" i="13"/>
  <c r="P465" i="13"/>
  <c r="N435" i="13"/>
  <c r="D73" i="9"/>
  <c r="G25" i="5"/>
  <c r="I26" i="5"/>
  <c r="G33" i="37"/>
  <c r="D33" i="9"/>
  <c r="G131" i="2" s="1"/>
  <c r="G134" i="2" s="1"/>
  <c r="G100" i="2" s="1"/>
  <c r="P304" i="13"/>
  <c r="G23" i="38"/>
  <c r="G67" i="2" s="1"/>
  <c r="I166" i="34"/>
  <c r="S22" i="21"/>
  <c r="P312" i="13"/>
  <c r="P481" i="13"/>
  <c r="S17" i="21"/>
  <c r="G20" i="36"/>
  <c r="G34" i="36"/>
  <c r="P316" i="13"/>
  <c r="J14" i="34"/>
  <c r="J63" i="34" s="1"/>
  <c r="P555" i="13"/>
  <c r="P563" i="13"/>
  <c r="P567" i="13"/>
  <c r="P583" i="13"/>
  <c r="P591" i="13"/>
  <c r="G31" i="6"/>
  <c r="G106" i="2" s="1"/>
  <c r="L106" i="2" s="1"/>
  <c r="J43" i="34"/>
  <c r="G17" i="36"/>
  <c r="E67" i="2"/>
  <c r="E64" i="2"/>
  <c r="J101" i="34"/>
  <c r="J150" i="34" s="1"/>
  <c r="G17" i="37"/>
  <c r="G21" i="37"/>
  <c r="E42" i="38"/>
  <c r="G73" i="2" s="1"/>
  <c r="M174" i="13"/>
  <c r="N783" i="13"/>
  <c r="G33" i="5"/>
  <c r="P897" i="13"/>
  <c r="P981" i="13"/>
  <c r="P989" i="13"/>
  <c r="P1005" i="13"/>
  <c r="P1017" i="13"/>
  <c r="P1025" i="13"/>
  <c r="G31" i="37"/>
  <c r="G40" i="36"/>
  <c r="M88" i="13"/>
  <c r="N870" i="13"/>
  <c r="N88" i="13"/>
  <c r="N174" i="13"/>
  <c r="M870" i="13"/>
  <c r="M261" i="13"/>
  <c r="I52" i="5"/>
  <c r="L90" i="2" s="1"/>
  <c r="P332" i="13"/>
  <c r="I42" i="5"/>
  <c r="A29" i="38"/>
  <c r="A30" i="38" s="1"/>
  <c r="A31" i="38" s="1"/>
  <c r="A32" i="38" s="1"/>
  <c r="A33" i="38" s="1"/>
  <c r="A34" i="38" s="1"/>
  <c r="A35" i="38" s="1"/>
  <c r="A36" i="38" s="1"/>
  <c r="A37" i="38" s="1"/>
  <c r="A38" i="38" s="1"/>
  <c r="A39" i="38" s="1"/>
  <c r="A40" i="38" s="1"/>
  <c r="A41" i="38" s="1"/>
  <c r="A42" i="38" s="1"/>
  <c r="E75" i="2" s="1"/>
  <c r="I77" i="20"/>
  <c r="J54" i="41"/>
  <c r="P407" i="13"/>
  <c r="P635" i="13"/>
  <c r="P671" i="13"/>
  <c r="P835" i="13"/>
  <c r="P851" i="13"/>
  <c r="P895" i="13"/>
  <c r="P907" i="13"/>
  <c r="P939" i="13"/>
  <c r="F42" i="38"/>
  <c r="G74" i="2" s="1"/>
  <c r="F80" i="38"/>
  <c r="G95" i="2" s="1"/>
  <c r="L95" i="2" s="1"/>
  <c r="P1003" i="13"/>
  <c r="J54" i="35"/>
  <c r="I188" i="34"/>
  <c r="I213" i="34" s="1"/>
  <c r="I216" i="34" s="1"/>
  <c r="I218" i="34" s="1"/>
  <c r="M435" i="13"/>
  <c r="P1018" i="13"/>
  <c r="P1026" i="13"/>
  <c r="G11" i="39"/>
  <c r="G19" i="39"/>
  <c r="H41" i="39"/>
  <c r="G27" i="5"/>
  <c r="E17" i="5"/>
  <c r="J51" i="36"/>
  <c r="G37" i="36"/>
  <c r="G35" i="5"/>
  <c r="G75" i="36"/>
  <c r="I92" i="36"/>
  <c r="G34" i="37"/>
  <c r="G31" i="36"/>
  <c r="P987" i="13"/>
  <c r="P1019" i="13"/>
  <c r="G26" i="37"/>
  <c r="P975" i="13"/>
  <c r="P991" i="13"/>
  <c r="H166" i="34"/>
  <c r="F29" i="10"/>
  <c r="F341" i="2" s="1"/>
  <c r="G169" i="2" s="1"/>
  <c r="G173" i="2" s="1"/>
  <c r="G180" i="2" s="1"/>
  <c r="F52" i="34"/>
  <c r="F64" i="34" s="1"/>
  <c r="G36" i="36"/>
  <c r="G64" i="36"/>
  <c r="G49" i="5"/>
  <c r="G51" i="5" s="1"/>
  <c r="G23" i="37"/>
  <c r="G29" i="36"/>
  <c r="P983" i="13"/>
  <c r="I18" i="5"/>
  <c r="D23" i="43"/>
  <c r="P795" i="13"/>
  <c r="P817" i="13"/>
  <c r="P821" i="13"/>
  <c r="P825" i="13"/>
  <c r="P841" i="13"/>
  <c r="P853" i="13"/>
  <c r="P1023" i="13"/>
  <c r="B28" i="2"/>
  <c r="B30" i="2" s="1"/>
  <c r="B31" i="2" s="1"/>
  <c r="C70" i="13" s="1"/>
  <c r="R51" i="36"/>
  <c r="M522" i="13"/>
  <c r="F188" i="34"/>
  <c r="F213" i="34" s="1"/>
  <c r="F216" i="34" s="1"/>
  <c r="F218" i="34" s="1"/>
  <c r="J118" i="34"/>
  <c r="B23" i="7"/>
  <c r="G41" i="36"/>
  <c r="G24" i="37"/>
  <c r="I23" i="31"/>
  <c r="E55" i="39"/>
  <c r="L223" i="2" s="1"/>
  <c r="P373" i="13"/>
  <c r="P405" i="13"/>
  <c r="P889" i="13"/>
  <c r="P909" i="13"/>
  <c r="P925" i="13"/>
  <c r="P929" i="13"/>
  <c r="P937" i="13"/>
  <c r="J92" i="36"/>
  <c r="H30" i="39"/>
  <c r="H33" i="39"/>
  <c r="G59" i="36"/>
  <c r="I79" i="6"/>
  <c r="I30" i="6" s="1"/>
  <c r="I79" i="34"/>
  <c r="P155" i="13"/>
  <c r="J31" i="6"/>
  <c r="G104" i="2" s="1"/>
  <c r="C188" i="34"/>
  <c r="C213" i="34" s="1"/>
  <c r="C216" i="34" s="1"/>
  <c r="F119" i="34"/>
  <c r="F140" i="34" s="1"/>
  <c r="S27" i="21"/>
  <c r="C92" i="36"/>
  <c r="E79" i="6"/>
  <c r="E30" i="6" s="1"/>
  <c r="F23" i="38"/>
  <c r="G66" i="2" s="1"/>
  <c r="G42" i="38"/>
  <c r="G75" i="2" s="1"/>
  <c r="G38" i="36"/>
  <c r="G35" i="36"/>
  <c r="G58" i="36"/>
  <c r="E49" i="5"/>
  <c r="E51" i="5" s="1"/>
  <c r="G22" i="37"/>
  <c r="C140" i="34"/>
  <c r="M957" i="13"/>
  <c r="C999" i="13"/>
  <c r="C1000" i="13" s="1"/>
  <c r="C1001" i="13" s="1"/>
  <c r="C1002" i="13" s="1"/>
  <c r="C1003" i="13" s="1"/>
  <c r="C1004" i="13" s="1"/>
  <c r="C1005" i="13" s="1"/>
  <c r="C1006" i="13" s="1"/>
  <c r="C1007" i="13" s="1"/>
  <c r="C1008" i="13" s="1"/>
  <c r="C1009" i="13" s="1"/>
  <c r="C1010" i="13" s="1"/>
  <c r="C1011" i="13" s="1"/>
  <c r="C1012" i="13" s="1"/>
  <c r="C1013" i="13" s="1"/>
  <c r="C1014" i="13" s="1"/>
  <c r="C1015" i="13" s="1"/>
  <c r="C1016" i="13" s="1"/>
  <c r="C1017" i="13" s="1"/>
  <c r="C1018" i="13" s="1"/>
  <c r="C1019" i="13" s="1"/>
  <c r="C1020" i="13" s="1"/>
  <c r="C1021" i="13" s="1"/>
  <c r="C1022" i="13" s="1"/>
  <c r="C1023" i="13" s="1"/>
  <c r="C1024" i="13" s="1"/>
  <c r="C1025" i="13" s="1"/>
  <c r="C1026" i="13" s="1"/>
  <c r="C1027" i="13" s="1"/>
  <c r="C1028" i="13" s="1"/>
  <c r="N957" i="13"/>
  <c r="G23" i="41"/>
  <c r="I23" i="41" s="1"/>
  <c r="L23" i="41" s="1"/>
  <c r="I22" i="41"/>
  <c r="L22" i="41" s="1"/>
  <c r="F48" i="13"/>
  <c r="G48" i="20"/>
  <c r="J196" i="34"/>
  <c r="E61" i="11"/>
  <c r="E63" i="11" s="1"/>
  <c r="E65" i="11" s="1"/>
  <c r="F23" i="36"/>
  <c r="G19" i="5"/>
  <c r="I30" i="31"/>
  <c r="H188" i="34"/>
  <c r="H213" i="34" s="1"/>
  <c r="I72" i="36"/>
  <c r="I78" i="36" s="1"/>
  <c r="G76" i="36"/>
  <c r="K36" i="37"/>
  <c r="P1011" i="13"/>
  <c r="J112" i="34"/>
  <c r="G188" i="34"/>
  <c r="G213" i="34" s="1"/>
  <c r="G216" i="34" s="1"/>
  <c r="E188" i="34"/>
  <c r="E213" i="34" s="1"/>
  <c r="E216" i="34" s="1"/>
  <c r="I199" i="34"/>
  <c r="J197" i="34"/>
  <c r="I36" i="37"/>
  <c r="E18" i="2"/>
  <c r="G18" i="37"/>
  <c r="K51" i="36"/>
  <c r="J188" i="34"/>
  <c r="J213" i="34" s="1"/>
  <c r="J216" i="34" s="1"/>
  <c r="H254" i="2" s="1"/>
  <c r="C51" i="36"/>
  <c r="G43" i="36"/>
  <c r="G57" i="36"/>
  <c r="K92" i="36"/>
  <c r="E42" i="32"/>
  <c r="E44" i="32" s="1"/>
  <c r="G60" i="36"/>
  <c r="E53" i="34"/>
  <c r="E203" i="34" s="1"/>
  <c r="P926" i="13"/>
  <c r="F166" i="34"/>
  <c r="C199" i="34"/>
  <c r="E23" i="36"/>
  <c r="I51" i="36"/>
  <c r="G42" i="36"/>
  <c r="D42" i="39"/>
  <c r="A84" i="38"/>
  <c r="A87" i="38" s="1"/>
  <c r="E95" i="2"/>
  <c r="D44" i="9"/>
  <c r="J195" i="34"/>
  <c r="H140" i="34"/>
  <c r="I32" i="34"/>
  <c r="I53" i="34" s="1"/>
  <c r="I52" i="34"/>
  <c r="E49" i="9"/>
  <c r="E64" i="9" s="1"/>
  <c r="D64" i="9"/>
  <c r="E63" i="34"/>
  <c r="E79" i="34"/>
  <c r="G199" i="34"/>
  <c r="J38" i="34"/>
  <c r="O33" i="21"/>
  <c r="G187" i="2" s="1"/>
  <c r="E44" i="9"/>
  <c r="I131" i="34"/>
  <c r="I140" i="34" s="1"/>
  <c r="I139" i="34"/>
  <c r="C50" i="34"/>
  <c r="J50" i="34" s="1"/>
  <c r="J49" i="34"/>
  <c r="J77" i="13"/>
  <c r="A81" i="13"/>
  <c r="C738" i="13"/>
  <c r="C739" i="13" s="1"/>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N696" i="13"/>
  <c r="M696" i="13"/>
  <c r="E73" i="9"/>
  <c r="E163" i="2"/>
  <c r="A23" i="31"/>
  <c r="M348" i="13"/>
  <c r="C390" i="13"/>
  <c r="C391" i="13" s="1"/>
  <c r="C392" i="13" s="1"/>
  <c r="C393" i="13" s="1"/>
  <c r="C394" i="13" s="1"/>
  <c r="C395" i="13" s="1"/>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N348" i="13"/>
  <c r="J21" i="8"/>
  <c r="I27" i="8"/>
  <c r="I31" i="8" s="1"/>
  <c r="H139" i="34"/>
  <c r="I904" i="20"/>
  <c r="F53" i="34"/>
  <c r="F203" i="34" s="1"/>
  <c r="E166" i="34"/>
  <c r="A19" i="5"/>
  <c r="A20" i="5" s="1"/>
  <c r="A23" i="5" s="1"/>
  <c r="A25" i="5" s="1"/>
  <c r="A26" i="5" s="1"/>
  <c r="A27" i="5" s="1"/>
  <c r="A28" i="5" s="1"/>
  <c r="A31" i="5" s="1"/>
  <c r="A33" i="5" s="1"/>
  <c r="G139" i="34"/>
  <c r="G125" i="34"/>
  <c r="G140" i="34" s="1"/>
  <c r="J37" i="34"/>
  <c r="C52" i="34"/>
  <c r="A79" i="36"/>
  <c r="D34" i="5" s="1"/>
  <c r="D35" i="5"/>
  <c r="G89" i="36"/>
  <c r="C63" i="36"/>
  <c r="C72" i="36" s="1"/>
  <c r="C78" i="36" s="1"/>
  <c r="E72" i="36"/>
  <c r="E78" i="36" s="1"/>
  <c r="H32" i="34"/>
  <c r="H53" i="34" s="1"/>
  <c r="H203" i="34" s="1"/>
  <c r="H52" i="34"/>
  <c r="J31" i="34"/>
  <c r="B74" i="39"/>
  <c r="E227" i="2"/>
  <c r="E228" i="2"/>
  <c r="E229" i="2"/>
  <c r="J25" i="34"/>
  <c r="I454" i="20"/>
  <c r="K79" i="6"/>
  <c r="K30" i="6" s="1"/>
  <c r="C36" i="37"/>
  <c r="J194" i="34"/>
  <c r="E101" i="2"/>
  <c r="A19" i="6"/>
  <c r="J193" i="34"/>
  <c r="E199" i="34"/>
  <c r="C139" i="34"/>
  <c r="J124" i="34"/>
  <c r="J136" i="34"/>
  <c r="E137" i="34"/>
  <c r="J137" i="34" s="1"/>
  <c r="G17" i="5"/>
  <c r="G41" i="5"/>
  <c r="G43" i="5"/>
  <c r="C564" i="13"/>
  <c r="C565" i="13" s="1"/>
  <c r="C566" i="13" s="1"/>
  <c r="C567" i="13" s="1"/>
  <c r="C568" i="13" s="1"/>
  <c r="C569" i="13" s="1"/>
  <c r="C570" i="13" s="1"/>
  <c r="C571" i="13" s="1"/>
  <c r="C572" i="13" s="1"/>
  <c r="C573" i="13" s="1"/>
  <c r="C574" i="13" s="1"/>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N522" i="13"/>
  <c r="I94" i="20"/>
  <c r="I994" i="20"/>
  <c r="I364" i="20"/>
  <c r="I544" i="20"/>
  <c r="I724" i="20"/>
  <c r="I814" i="20"/>
  <c r="I274" i="20"/>
  <c r="I184" i="20"/>
  <c r="C303" i="13"/>
  <c r="C304" i="13" s="1"/>
  <c r="C305" i="13" s="1"/>
  <c r="C306" i="13" s="1"/>
  <c r="C307" i="13" s="1"/>
  <c r="C308" i="13" s="1"/>
  <c r="C309" i="13" s="1"/>
  <c r="C310" i="13" s="1"/>
  <c r="C311" i="13" s="1"/>
  <c r="C312" i="13" s="1"/>
  <c r="C313" i="13" s="1"/>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N261" i="13"/>
  <c r="G22" i="35"/>
  <c r="I21" i="35"/>
  <c r="L21" i="35" s="1"/>
  <c r="J130" i="34"/>
  <c r="E131" i="34"/>
  <c r="E139" i="34"/>
  <c r="E144" i="34" s="1"/>
  <c r="E147" i="34" s="1"/>
  <c r="E152" i="34" s="1"/>
  <c r="F199" i="34"/>
  <c r="M43" i="11"/>
  <c r="G164" i="2" s="1"/>
  <c r="L164" i="2" s="1"/>
  <c r="G52" i="34"/>
  <c r="G56" i="36"/>
  <c r="M609" i="13"/>
  <c r="N609" i="13"/>
  <c r="G44" i="34"/>
  <c r="J44" i="34" s="1"/>
  <c r="A76" i="36"/>
  <c r="G25" i="37"/>
  <c r="P458" i="13"/>
  <c r="P719" i="13"/>
  <c r="P735" i="13"/>
  <c r="P739" i="13"/>
  <c r="P747" i="13"/>
  <c r="P751" i="13"/>
  <c r="P759" i="13"/>
  <c r="P763" i="13"/>
  <c r="G65" i="36"/>
  <c r="G20" i="37"/>
  <c r="L15" i="43"/>
  <c r="I21" i="41"/>
  <c r="L21" i="41" s="1"/>
  <c r="D23" i="38"/>
  <c r="G64" i="2" s="1"/>
  <c r="G166" i="34"/>
  <c r="H199" i="34"/>
  <c r="F139" i="34"/>
  <c r="P399" i="13"/>
  <c r="P830" i="13"/>
  <c r="P978" i="13"/>
  <c r="P982" i="13"/>
  <c r="P998" i="13"/>
  <c r="I34" i="5"/>
  <c r="G10" i="39"/>
  <c r="G12" i="39"/>
  <c r="G14" i="39"/>
  <c r="G20" i="39"/>
  <c r="G42" i="39"/>
  <c r="H79" i="34"/>
  <c r="K72" i="36"/>
  <c r="K78" i="36" s="1"/>
  <c r="E52" i="34"/>
  <c r="G39" i="36"/>
  <c r="G68" i="36"/>
  <c r="I37" i="31"/>
  <c r="F87" i="38"/>
  <c r="G97" i="2" s="1"/>
  <c r="P456" i="13"/>
  <c r="P480" i="13"/>
  <c r="P488" i="13"/>
  <c r="P500" i="13"/>
  <c r="P729" i="13"/>
  <c r="P737" i="13"/>
  <c r="P745" i="13"/>
  <c r="P749" i="13"/>
  <c r="J23" i="43"/>
  <c r="G29" i="37"/>
  <c r="G30" i="36"/>
  <c r="P820" i="13"/>
  <c r="P980" i="13"/>
  <c r="P984" i="13"/>
  <c r="P988" i="13"/>
  <c r="P992" i="13"/>
  <c r="P996" i="13"/>
  <c r="G33" i="36"/>
  <c r="G15" i="39"/>
  <c r="G21" i="39"/>
  <c r="H29" i="39"/>
  <c r="H32" i="39"/>
  <c r="H37" i="39"/>
  <c r="E223" i="2"/>
  <c r="A57" i="39"/>
  <c r="A16" i="34"/>
  <c r="B63" i="34"/>
  <c r="E28" i="2"/>
  <c r="D30" i="2"/>
  <c r="E131" i="2"/>
  <c r="A36" i="9"/>
  <c r="A37" i="9" s="1"/>
  <c r="A38" i="9" s="1"/>
  <c r="A39" i="9" s="1"/>
  <c r="A40" i="9" s="1"/>
  <c r="A41" i="9" s="1"/>
  <c r="A44" i="9" s="1"/>
  <c r="G20" i="11"/>
  <c r="G43" i="11" s="1"/>
  <c r="E43" i="11"/>
  <c r="A48" i="11"/>
  <c r="E164" i="2"/>
  <c r="E165" i="2"/>
  <c r="A22" i="40"/>
  <c r="A23" i="40" s="1"/>
  <c r="E133" i="2"/>
  <c r="B55" i="39"/>
  <c r="K43" i="11"/>
  <c r="G165" i="2" s="1"/>
  <c r="E36" i="37"/>
  <c r="I55" i="6"/>
  <c r="I29" i="6" s="1"/>
  <c r="K39" i="6"/>
  <c r="I43" i="11"/>
  <c r="G161" i="2" s="1"/>
  <c r="E22" i="31"/>
  <c r="G19" i="36"/>
  <c r="P109" i="13"/>
  <c r="P111" i="13"/>
  <c r="P113" i="13"/>
  <c r="P115" i="13"/>
  <c r="P117" i="13"/>
  <c r="P121" i="13"/>
  <c r="P123" i="13"/>
  <c r="P125" i="13"/>
  <c r="P147" i="13"/>
  <c r="P153" i="13"/>
  <c r="P157" i="13"/>
  <c r="P159" i="13"/>
  <c r="M783" i="13"/>
  <c r="Q28" i="42"/>
  <c r="Q32" i="42" s="1"/>
  <c r="M32" i="42"/>
  <c r="P218" i="13"/>
  <c r="P232" i="13"/>
  <c r="P234" i="13"/>
  <c r="P236" i="13"/>
  <c r="P238" i="13"/>
  <c r="P240" i="13"/>
  <c r="P242" i="13"/>
  <c r="P244" i="13"/>
  <c r="P368" i="13"/>
  <c r="P370" i="13"/>
  <c r="P372" i="13"/>
  <c r="P382" i="13"/>
  <c r="P388" i="13"/>
  <c r="P390" i="13"/>
  <c r="P396" i="13"/>
  <c r="P400" i="13"/>
  <c r="P408" i="13"/>
  <c r="P410" i="13"/>
  <c r="P418" i="13"/>
  <c r="E23" i="38"/>
  <c r="G65" i="2" s="1"/>
  <c r="C42" i="38"/>
  <c r="G30" i="37"/>
  <c r="R32" i="42"/>
  <c r="G67" i="36"/>
  <c r="C23" i="38"/>
  <c r="G63" i="2" s="1"/>
  <c r="D42" i="38"/>
  <c r="G72" i="2" s="1"/>
  <c r="P660" i="13"/>
  <c r="D20" i="40"/>
  <c r="E23" i="39"/>
  <c r="L228" i="2" s="1"/>
  <c r="P328" i="13"/>
  <c r="P543" i="13"/>
  <c r="P545" i="13"/>
  <c r="P547" i="13"/>
  <c r="P549" i="13"/>
  <c r="P559" i="13"/>
  <c r="P561" i="13"/>
  <c r="P575" i="13"/>
  <c r="P577" i="13"/>
  <c r="P581" i="13"/>
  <c r="P805" i="13"/>
  <c r="P807" i="13"/>
  <c r="P809" i="13"/>
  <c r="P811" i="13"/>
  <c r="P813" i="13"/>
  <c r="P829" i="13"/>
  <c r="P831" i="13"/>
  <c r="P837" i="13"/>
  <c r="P843" i="13"/>
  <c r="P845" i="13"/>
  <c r="P847" i="13"/>
  <c r="P882" i="13"/>
  <c r="P893" i="13"/>
  <c r="P901" i="13"/>
  <c r="P905" i="13"/>
  <c r="P285" i="13"/>
  <c r="P321" i="13"/>
  <c r="P498" i="13"/>
  <c r="P546" i="13"/>
  <c r="P662" i="13"/>
  <c r="P110" i="13"/>
  <c r="P112" i="13"/>
  <c r="P114" i="13"/>
  <c r="P118" i="13"/>
  <c r="P120" i="13"/>
  <c r="P122" i="13"/>
  <c r="P124" i="13"/>
  <c r="P126" i="13"/>
  <c r="P128" i="13"/>
  <c r="P130" i="13"/>
  <c r="P134" i="13"/>
  <c r="P136" i="13"/>
  <c r="P138" i="13"/>
  <c r="P146" i="13"/>
  <c r="P150" i="13"/>
  <c r="P152" i="13"/>
  <c r="P195" i="13"/>
  <c r="P197" i="13"/>
  <c r="P199" i="13"/>
  <c r="P201" i="13"/>
  <c r="P203" i="13"/>
  <c r="P205" i="13"/>
  <c r="P209" i="13"/>
  <c r="P215" i="13"/>
  <c r="P217" i="13"/>
  <c r="P221" i="13"/>
  <c r="P223" i="13"/>
  <c r="P227" i="13"/>
  <c r="P239" i="13"/>
  <c r="P241" i="13"/>
  <c r="P243" i="13"/>
  <c r="P377" i="13"/>
  <c r="P379" i="13"/>
  <c r="P387" i="13"/>
  <c r="P389" i="13"/>
  <c r="P395" i="13"/>
  <c r="P401" i="13"/>
  <c r="P403" i="13"/>
  <c r="P411" i="13"/>
  <c r="P415" i="13"/>
  <c r="P419" i="13"/>
  <c r="P461" i="13"/>
  <c r="P469" i="13"/>
  <c r="P493" i="13"/>
  <c r="P495" i="13"/>
  <c r="P497" i="13"/>
  <c r="P503" i="13"/>
  <c r="P505" i="13"/>
  <c r="P1002" i="13"/>
  <c r="P154" i="13"/>
  <c r="P207" i="13"/>
  <c r="P283" i="13"/>
  <c r="P287" i="13"/>
  <c r="P299" i="13"/>
  <c r="P305" i="13"/>
  <c r="P311" i="13"/>
  <c r="P327" i="13"/>
  <c r="P329" i="13"/>
  <c r="P331" i="13"/>
  <c r="P369" i="13"/>
  <c r="P475" i="13"/>
  <c r="P542" i="13"/>
  <c r="P570" i="13"/>
  <c r="P576" i="13"/>
  <c r="P580" i="13"/>
  <c r="P588" i="13"/>
  <c r="P590" i="13"/>
  <c r="P650" i="13"/>
  <c r="P664" i="13"/>
  <c r="P674" i="13"/>
  <c r="P676" i="13"/>
  <c r="P678" i="13"/>
  <c r="P680" i="13"/>
  <c r="P716" i="13"/>
  <c r="P720" i="13"/>
  <c r="P722" i="13"/>
  <c r="P724" i="13"/>
  <c r="P726" i="13"/>
  <c r="P728" i="13"/>
  <c r="P730" i="13"/>
  <c r="P736" i="13"/>
  <c r="P738" i="13"/>
  <c r="P742" i="13"/>
  <c r="P744" i="13"/>
  <c r="P748" i="13"/>
  <c r="P750" i="13"/>
  <c r="P758" i="13"/>
  <c r="P760" i="13"/>
  <c r="P822" i="13"/>
  <c r="P832" i="13"/>
  <c r="P894" i="13"/>
  <c r="P896" i="13"/>
  <c r="P902" i="13"/>
  <c r="P904" i="13"/>
  <c r="P922" i="13"/>
  <c r="P932" i="13"/>
  <c r="P1004" i="13"/>
  <c r="P1010" i="13"/>
  <c r="P1014" i="13"/>
  <c r="P1016" i="13"/>
  <c r="P284" i="13"/>
  <c r="P286" i="13"/>
  <c r="P288" i="13"/>
  <c r="P290" i="13"/>
  <c r="P300" i="13"/>
  <c r="P302" i="13"/>
  <c r="P308" i="13"/>
  <c r="P314" i="13"/>
  <c r="P585" i="13"/>
  <c r="P587" i="13"/>
  <c r="P589" i="13"/>
  <c r="P593" i="13"/>
  <c r="P633" i="13"/>
  <c r="P647" i="13"/>
  <c r="P649" i="13"/>
  <c r="P651" i="13"/>
  <c r="P653" i="13"/>
  <c r="P655" i="13"/>
  <c r="P657" i="13"/>
  <c r="P659" i="13"/>
  <c r="P661" i="13"/>
  <c r="P663" i="13"/>
  <c r="P665" i="13"/>
  <c r="P667" i="13"/>
  <c r="P673" i="13"/>
  <c r="P675" i="13"/>
  <c r="P677" i="13"/>
  <c r="P815" i="13"/>
  <c r="P823" i="13"/>
  <c r="P833" i="13"/>
  <c r="P849" i="13"/>
  <c r="P917" i="13"/>
  <c r="P919" i="13"/>
  <c r="P931" i="13"/>
  <c r="P935" i="13"/>
  <c r="P135" i="13"/>
  <c r="P222" i="13"/>
  <c r="P309" i="13"/>
  <c r="P460" i="13"/>
  <c r="P544" i="13"/>
  <c r="P548" i="13"/>
  <c r="P550" i="13"/>
  <c r="P560" i="13"/>
  <c r="P572" i="13"/>
  <c r="P586" i="13"/>
  <c r="P592" i="13"/>
  <c r="P630" i="13"/>
  <c r="P636" i="13"/>
  <c r="P640" i="13"/>
  <c r="P644" i="13"/>
  <c r="P652" i="13"/>
  <c r="P654" i="13"/>
  <c r="P656" i="13"/>
  <c r="P658" i="13"/>
  <c r="P666" i="13"/>
  <c r="P670" i="13"/>
  <c r="P672" i="13"/>
  <c r="P812" i="13"/>
  <c r="P818" i="13"/>
  <c r="P834" i="13"/>
  <c r="P840" i="13"/>
  <c r="P846" i="13"/>
  <c r="P848" i="13"/>
  <c r="P854" i="13"/>
  <c r="P890" i="13"/>
  <c r="P892" i="13"/>
  <c r="P900" i="13"/>
  <c r="P906" i="13"/>
  <c r="P914" i="13"/>
  <c r="P918" i="13"/>
  <c r="P934" i="13"/>
  <c r="P938" i="13"/>
  <c r="P1027" i="13"/>
  <c r="P386" i="13"/>
  <c r="P406" i="13"/>
  <c r="P412" i="13"/>
  <c r="P476" i="13"/>
  <c r="P496" i="13"/>
  <c r="P506" i="13"/>
  <c r="P717" i="13"/>
  <c r="P731" i="13"/>
  <c r="P743" i="13"/>
  <c r="P753" i="13"/>
  <c r="P289" i="13"/>
  <c r="P291" i="13"/>
  <c r="P293" i="13"/>
  <c r="P295" i="13"/>
  <c r="P315" i="13"/>
  <c r="P317" i="13"/>
  <c r="P325" i="13"/>
  <c r="P231" i="13"/>
  <c r="P233" i="13"/>
  <c r="P237" i="13"/>
  <c r="P245" i="13"/>
  <c r="P375" i="13"/>
  <c r="P385" i="13"/>
  <c r="P393" i="13"/>
  <c r="P463" i="13"/>
  <c r="P471" i="13"/>
  <c r="P479" i="13"/>
  <c r="P501" i="13"/>
  <c r="P564" i="13"/>
  <c r="P566" i="13"/>
  <c r="P828" i="13"/>
  <c r="P836" i="13"/>
  <c r="P838" i="13"/>
  <c r="P844" i="13"/>
  <c r="P908" i="13"/>
  <c r="P910" i="13"/>
  <c r="P912" i="13"/>
  <c r="P916" i="13"/>
  <c r="P920" i="13"/>
  <c r="P924" i="13"/>
  <c r="P928" i="13"/>
  <c r="P930" i="13"/>
  <c r="P936" i="13"/>
  <c r="P940" i="13"/>
  <c r="P133" i="13"/>
  <c r="P137" i="13"/>
  <c r="P139" i="13"/>
  <c r="P149" i="13"/>
  <c r="P151" i="13"/>
  <c r="P196" i="13"/>
  <c r="P198" i="13"/>
  <c r="P200" i="13"/>
  <c r="P204" i="13"/>
  <c r="P208" i="13"/>
  <c r="P214" i="13"/>
  <c r="P216" i="13"/>
  <c r="P220" i="13"/>
  <c r="P224" i="13"/>
  <c r="P228" i="13"/>
  <c r="P230" i="13"/>
  <c r="P330" i="13"/>
  <c r="P579" i="13"/>
  <c r="P142" i="13"/>
  <c r="P144" i="13"/>
  <c r="P148" i="13"/>
  <c r="P156" i="13"/>
  <c r="P158" i="13"/>
  <c r="P202" i="13"/>
  <c r="P226" i="13"/>
  <c r="P381" i="13"/>
  <c r="P397" i="13"/>
  <c r="P409" i="13"/>
  <c r="P413" i="13"/>
  <c r="P417" i="13"/>
  <c r="P457" i="13"/>
  <c r="P473" i="13"/>
  <c r="P477" i="13"/>
  <c r="P489" i="13"/>
  <c r="P551" i="13"/>
  <c r="P723" i="13"/>
  <c r="P757" i="13"/>
  <c r="P761" i="13"/>
  <c r="P765" i="13"/>
  <c r="P767" i="13"/>
  <c r="P804" i="13"/>
  <c r="P806" i="13"/>
  <c r="P808" i="13"/>
  <c r="P810" i="13"/>
  <c r="P814" i="13"/>
  <c r="P816" i="13"/>
  <c r="P824" i="13"/>
  <c r="P979" i="13"/>
  <c r="P985" i="13"/>
  <c r="P995" i="13"/>
  <c r="P997" i="13"/>
  <c r="P999" i="13"/>
  <c r="P1001" i="13"/>
  <c r="P1007" i="13"/>
  <c r="P1009" i="13"/>
  <c r="P1013" i="13"/>
  <c r="P1021" i="13"/>
  <c r="H39" i="39"/>
  <c r="H40" i="39"/>
  <c r="G22" i="39"/>
  <c r="H38" i="39"/>
  <c r="D33" i="40"/>
  <c r="G146" i="2" s="1"/>
  <c r="G147" i="2" s="1"/>
  <c r="P127" i="13"/>
  <c r="P129" i="13"/>
  <c r="P131" i="13"/>
  <c r="P143" i="13"/>
  <c r="P145" i="13"/>
  <c r="P211" i="13"/>
  <c r="P213" i="13"/>
  <c r="P297" i="13"/>
  <c r="P301" i="13"/>
  <c r="P303" i="13"/>
  <c r="P319" i="13"/>
  <c r="P323" i="13"/>
  <c r="P374" i="13"/>
  <c r="P376" i="13"/>
  <c r="P380" i="13"/>
  <c r="P392" i="13"/>
  <c r="P394" i="13"/>
  <c r="P398" i="13"/>
  <c r="P462" i="13"/>
  <c r="P464" i="13"/>
  <c r="P466" i="13"/>
  <c r="P468" i="13"/>
  <c r="P478" i="13"/>
  <c r="P482" i="13"/>
  <c r="P484" i="13"/>
  <c r="P486" i="13"/>
  <c r="P490" i="13"/>
  <c r="P492" i="13"/>
  <c r="P494" i="13"/>
  <c r="P502" i="13"/>
  <c r="P558" i="13"/>
  <c r="P568" i="13"/>
  <c r="P578" i="13"/>
  <c r="P718" i="13"/>
  <c r="P732" i="13"/>
  <c r="P734" i="13"/>
  <c r="P839" i="13"/>
  <c r="P899" i="13"/>
  <c r="P903" i="13"/>
  <c r="P911" i="13"/>
  <c r="P913" i="13"/>
  <c r="P921" i="13"/>
  <c r="P927" i="13"/>
  <c r="P933" i="13"/>
  <c r="P941" i="13"/>
  <c r="P1024" i="13"/>
  <c r="H34" i="39"/>
  <c r="H35" i="39"/>
  <c r="G62" i="36"/>
  <c r="E35" i="5"/>
  <c r="P140" i="13"/>
  <c r="P212" i="13"/>
  <c r="P324" i="13"/>
  <c r="P371" i="13"/>
  <c r="P499" i="13"/>
  <c r="P552" i="13"/>
  <c r="P573" i="13"/>
  <c r="P631" i="13"/>
  <c r="P639" i="13"/>
  <c r="P752" i="13"/>
  <c r="P756" i="13"/>
  <c r="P766" i="13"/>
  <c r="P796" i="13"/>
  <c r="P842" i="13"/>
  <c r="P898" i="13"/>
  <c r="F42" i="39"/>
  <c r="P383" i="13"/>
  <c r="P404" i="13"/>
  <c r="P485" i="13"/>
  <c r="P669" i="13"/>
  <c r="H31" i="39"/>
  <c r="P141" i="13"/>
  <c r="P219" i="13"/>
  <c r="P229" i="13"/>
  <c r="P307" i="13"/>
  <c r="P378" i="13"/>
  <c r="P504" i="13"/>
  <c r="P582" i="13"/>
  <c r="P755" i="13"/>
  <c r="G13" i="39"/>
  <c r="G16" i="39"/>
  <c r="G17" i="39"/>
  <c r="G18" i="39"/>
  <c r="P116" i="13"/>
  <c r="P132" i="13"/>
  <c r="P459" i="13"/>
  <c r="P487" i="13"/>
  <c r="P565" i="13"/>
  <c r="P632" i="13"/>
  <c r="P634" i="13"/>
  <c r="P638" i="13"/>
  <c r="P725" i="13"/>
  <c r="P727" i="13"/>
  <c r="P891" i="13"/>
  <c r="P993" i="13"/>
  <c r="P976" i="13"/>
  <c r="F63" i="36"/>
  <c r="P292" i="13"/>
  <c r="P294" i="13"/>
  <c r="P470" i="13"/>
  <c r="P472" i="13"/>
  <c r="P554" i="13"/>
  <c r="P556" i="13"/>
  <c r="P642" i="13"/>
  <c r="P646" i="13"/>
  <c r="C42" i="39"/>
  <c r="H36" i="39"/>
  <c r="P1015" i="13"/>
  <c r="E42" i="39"/>
  <c r="P206" i="13"/>
  <c r="P210" i="13"/>
  <c r="P225" i="13"/>
  <c r="P313" i="13"/>
  <c r="P326" i="13"/>
  <c r="P402" i="13"/>
  <c r="P467" i="13"/>
  <c r="P474" i="13"/>
  <c r="P574" i="13"/>
  <c r="P584" i="13"/>
  <c r="P733" i="13"/>
  <c r="P741" i="13"/>
  <c r="P764" i="13"/>
  <c r="P850" i="13"/>
  <c r="P852" i="13"/>
  <c r="P990" i="13"/>
  <c r="P994" i="13"/>
  <c r="P119" i="13"/>
  <c r="P235" i="13"/>
  <c r="P384" i="13"/>
  <c r="P414" i="13"/>
  <c r="P416" i="13"/>
  <c r="P491" i="13"/>
  <c r="P562" i="13"/>
  <c r="P668" i="13"/>
  <c r="P721" i="13"/>
  <c r="P826" i="13"/>
  <c r="P977" i="13"/>
  <c r="P1000" i="13"/>
  <c r="J27" i="8" l="1"/>
  <c r="J31" i="8" s="1"/>
  <c r="E72" i="2"/>
  <c r="O174" i="13"/>
  <c r="G92" i="36"/>
  <c r="L227" i="2"/>
  <c r="E27" i="5"/>
  <c r="I27" i="5" s="1"/>
  <c r="L41" i="2"/>
  <c r="F229" i="34"/>
  <c r="F234" i="34" s="1"/>
  <c r="F237" i="34" s="1"/>
  <c r="E229" i="34"/>
  <c r="I19" i="5"/>
  <c r="G218" i="34"/>
  <c r="G20" i="5"/>
  <c r="C229" i="34"/>
  <c r="E20" i="5"/>
  <c r="O88" i="13"/>
  <c r="E151" i="34"/>
  <c r="E153" i="34" s="1"/>
  <c r="E155" i="34" s="1"/>
  <c r="E171" i="34" s="1"/>
  <c r="E174" i="34" s="1"/>
  <c r="G229" i="34"/>
  <c r="J32" i="34"/>
  <c r="O696" i="13"/>
  <c r="I35" i="5"/>
  <c r="E218" i="34"/>
  <c r="E25" i="5"/>
  <c r="I25" i="5" s="1"/>
  <c r="E167" i="34"/>
  <c r="G44" i="36"/>
  <c r="G149" i="2"/>
  <c r="G151" i="2" s="1"/>
  <c r="J119" i="34"/>
  <c r="C218" i="34"/>
  <c r="D45" i="36"/>
  <c r="D51" i="36" s="1"/>
  <c r="O261" i="13"/>
  <c r="O609" i="13"/>
  <c r="G23" i="36"/>
  <c r="J79" i="34"/>
  <c r="O348" i="13"/>
  <c r="G81" i="2"/>
  <c r="S33" i="21"/>
  <c r="L187" i="2" s="1"/>
  <c r="I17" i="5"/>
  <c r="G86" i="2" s="1"/>
  <c r="G28" i="5"/>
  <c r="O783" i="13"/>
  <c r="I31" i="6"/>
  <c r="G105" i="2" s="1"/>
  <c r="E86" i="2"/>
  <c r="J218" i="34"/>
  <c r="G251" i="2" s="1"/>
  <c r="H251" i="2" s="1"/>
  <c r="I229" i="34"/>
  <c r="I234" i="34" s="1"/>
  <c r="I237" i="34" s="1"/>
  <c r="F57" i="34"/>
  <c r="F60" i="34" s="1"/>
  <c r="F65" i="34" s="1"/>
  <c r="F66" i="34" s="1"/>
  <c r="F80" i="34"/>
  <c r="G24" i="41"/>
  <c r="I24" i="41" s="1"/>
  <c r="L24" i="41" s="1"/>
  <c r="D33" i="2"/>
  <c r="G36" i="5"/>
  <c r="H229" i="34"/>
  <c r="G178" i="2"/>
  <c r="G179" i="2"/>
  <c r="O435" i="13"/>
  <c r="O870" i="13"/>
  <c r="I33" i="5"/>
  <c r="E71" i="2"/>
  <c r="A49" i="38"/>
  <c r="A50" i="38" s="1"/>
  <c r="A51" i="38" s="1"/>
  <c r="A52" i="38" s="1"/>
  <c r="A53" i="38" s="1"/>
  <c r="A54" i="38" s="1"/>
  <c r="A55" i="38" s="1"/>
  <c r="A56" i="38" s="1"/>
  <c r="A57" i="38" s="1"/>
  <c r="A58" i="38" s="1"/>
  <c r="A59" i="38" s="1"/>
  <c r="A60" i="38" s="1"/>
  <c r="A61" i="38" s="1"/>
  <c r="A62" i="38" s="1"/>
  <c r="E73" i="2"/>
  <c r="E74" i="2"/>
  <c r="J166" i="34"/>
  <c r="N21" i="13"/>
  <c r="B33" i="2"/>
  <c r="B34" i="2" s="1"/>
  <c r="C70" i="20"/>
  <c r="I49" i="5"/>
  <c r="I51" i="5" s="1"/>
  <c r="G90" i="2" s="1"/>
  <c r="G80" i="2"/>
  <c r="K48" i="11" s="1"/>
  <c r="K51" i="11" s="1"/>
  <c r="K53" i="11" s="1"/>
  <c r="K55" i="11" s="1"/>
  <c r="I22" i="31"/>
  <c r="L163" i="2" s="1"/>
  <c r="O957" i="13"/>
  <c r="H216" i="34"/>
  <c r="H218" i="34" s="1"/>
  <c r="G53" i="34"/>
  <c r="G203" i="34" s="1"/>
  <c r="O21" i="13"/>
  <c r="A81" i="36"/>
  <c r="A83" i="36" s="1"/>
  <c r="A85" i="36" s="1"/>
  <c r="A87" i="36" s="1"/>
  <c r="A88" i="36" s="1"/>
  <c r="A89" i="36" s="1"/>
  <c r="A90" i="36" s="1"/>
  <c r="A91" i="36" s="1"/>
  <c r="A92" i="36" s="1"/>
  <c r="D52" i="5" s="1"/>
  <c r="F144" i="34"/>
  <c r="F147" i="34" s="1"/>
  <c r="F152" i="34" s="1"/>
  <c r="F167" i="34"/>
  <c r="F151" i="34"/>
  <c r="G64" i="34"/>
  <c r="G57" i="34"/>
  <c r="G60" i="34" s="1"/>
  <c r="G65" i="34" s="1"/>
  <c r="G80" i="34"/>
  <c r="F202" i="34"/>
  <c r="H57" i="34"/>
  <c r="H60" i="34" s="1"/>
  <c r="H65" i="34" s="1"/>
  <c r="H80" i="34"/>
  <c r="H202" i="34"/>
  <c r="H64" i="34"/>
  <c r="H151" i="34"/>
  <c r="H167" i="34"/>
  <c r="H144" i="34"/>
  <c r="H147" i="34" s="1"/>
  <c r="H152" i="34" s="1"/>
  <c r="I57" i="34"/>
  <c r="I60" i="34" s="1"/>
  <c r="I65" i="34" s="1"/>
  <c r="I202" i="34"/>
  <c r="I64" i="34"/>
  <c r="I80" i="34"/>
  <c r="J125" i="34"/>
  <c r="C64" i="34"/>
  <c r="J52" i="34"/>
  <c r="C57" i="34"/>
  <c r="C80" i="34"/>
  <c r="E64" i="34"/>
  <c r="E80" i="34"/>
  <c r="E202" i="34"/>
  <c r="E57" i="34"/>
  <c r="E60" i="34" s="1"/>
  <c r="E65" i="34" s="1"/>
  <c r="J139" i="34"/>
  <c r="C151" i="34"/>
  <c r="C144" i="34"/>
  <c r="C167" i="34"/>
  <c r="E87" i="2"/>
  <c r="G44" i="5"/>
  <c r="E102" i="2"/>
  <c r="A21" i="6"/>
  <c r="G202" i="34"/>
  <c r="G144" i="34"/>
  <c r="G147" i="34" s="1"/>
  <c r="G152" i="34" s="1"/>
  <c r="G151" i="34"/>
  <c r="G167" i="34"/>
  <c r="I144" i="34"/>
  <c r="I147" i="34" s="1"/>
  <c r="I152" i="34" s="1"/>
  <c r="I151" i="34"/>
  <c r="I167" i="34"/>
  <c r="A30" i="31"/>
  <c r="A37" i="31" s="1"/>
  <c r="A40" i="31" s="1"/>
  <c r="A49" i="31" s="1"/>
  <c r="A50" i="31" s="1"/>
  <c r="A52" i="31" s="1"/>
  <c r="A54" i="31" s="1"/>
  <c r="A58" i="31" s="1"/>
  <c r="A59" i="31" s="1"/>
  <c r="A61" i="31" s="1"/>
  <c r="A62" i="31" s="1"/>
  <c r="A65" i="31" s="1"/>
  <c r="A69" i="31" s="1"/>
  <c r="A81" i="31" s="1"/>
  <c r="A86" i="31" s="1"/>
  <c r="A89" i="31" s="1"/>
  <c r="A95" i="31" s="1"/>
  <c r="A98" i="31" s="1"/>
  <c r="A101" i="31" s="1"/>
  <c r="G23" i="35"/>
  <c r="I22" i="35"/>
  <c r="L22" i="35" s="1"/>
  <c r="D20" i="5"/>
  <c r="O522" i="13"/>
  <c r="J131" i="34"/>
  <c r="E140" i="34"/>
  <c r="J140" i="34" s="1"/>
  <c r="J199" i="34"/>
  <c r="C202" i="34"/>
  <c r="C207" i="34" s="1"/>
  <c r="L23" i="43"/>
  <c r="O15" i="43"/>
  <c r="O23" i="43" s="1"/>
  <c r="C53" i="34"/>
  <c r="C203" i="34" s="1"/>
  <c r="A26" i="40"/>
  <c r="G163" i="2"/>
  <c r="G166" i="2" s="1"/>
  <c r="E101" i="31"/>
  <c r="K55" i="6"/>
  <c r="K29" i="6" s="1"/>
  <c r="K31" i="6" s="1"/>
  <c r="E39" i="6"/>
  <c r="E55" i="6" s="1"/>
  <c r="E29" i="6" s="1"/>
  <c r="E31" i="6" s="1"/>
  <c r="G107" i="2" s="1"/>
  <c r="L107" i="2" s="1"/>
  <c r="A34" i="5"/>
  <c r="A35" i="5" s="1"/>
  <c r="A36" i="5" s="1"/>
  <c r="A39" i="5" s="1"/>
  <c r="A41" i="5" s="1"/>
  <c r="I203" i="34"/>
  <c r="G68" i="2"/>
  <c r="L204" i="2"/>
  <c r="C64" i="38"/>
  <c r="L71" i="2" s="1"/>
  <c r="G71" i="2"/>
  <c r="G79" i="2" s="1"/>
  <c r="E143" i="2"/>
  <c r="A47" i="9"/>
  <c r="A48" i="9" s="1"/>
  <c r="A49" i="9" s="1"/>
  <c r="A50" i="9" s="1"/>
  <c r="A51" i="9" s="1"/>
  <c r="A52" i="9" s="1"/>
  <c r="A53" i="9" s="1"/>
  <c r="A54" i="9" s="1"/>
  <c r="A55" i="9" s="1"/>
  <c r="A56" i="9" s="1"/>
  <c r="A57" i="9" s="1"/>
  <c r="A58" i="9" s="1"/>
  <c r="A59" i="9" s="1"/>
  <c r="A60" i="9" s="1"/>
  <c r="A61" i="9" s="1"/>
  <c r="A62" i="9" s="1"/>
  <c r="A64" i="9" s="1"/>
  <c r="E36" i="5"/>
  <c r="B23" i="40"/>
  <c r="A50" i="11"/>
  <c r="A51" i="11" s="1"/>
  <c r="C61" i="11" s="1"/>
  <c r="B13" i="34"/>
  <c r="A19" i="34"/>
  <c r="A20" i="34" s="1"/>
  <c r="A21" i="34" s="1"/>
  <c r="A22" i="34" s="1"/>
  <c r="A23" i="34" s="1"/>
  <c r="A24" i="34" s="1"/>
  <c r="A25" i="34" s="1"/>
  <c r="D233" i="2"/>
  <c r="A60" i="39"/>
  <c r="A63" i="39" s="1"/>
  <c r="A64" i="39" s="1"/>
  <c r="A65" i="39" s="1"/>
  <c r="A66" i="39" s="1"/>
  <c r="A68" i="39" s="1"/>
  <c r="D28" i="5"/>
  <c r="G23" i="39"/>
  <c r="H42" i="39"/>
  <c r="G233" i="2" s="1"/>
  <c r="D63" i="36"/>
  <c r="F72" i="36"/>
  <c r="F78" i="36" s="1"/>
  <c r="G234" i="2" l="1"/>
  <c r="J234" i="2" s="1"/>
  <c r="E22" i="13" s="1"/>
  <c r="L45" i="2"/>
  <c r="I36" i="5"/>
  <c r="L88" i="2" s="1"/>
  <c r="G45" i="36"/>
  <c r="G51" i="36" s="1"/>
  <c r="L230" i="2"/>
  <c r="G235" i="2" s="1"/>
  <c r="E234" i="34"/>
  <c r="E237" i="34" s="1"/>
  <c r="I20" i="5"/>
  <c r="L86" i="2" s="1"/>
  <c r="G88" i="2"/>
  <c r="G25" i="41"/>
  <c r="G26" i="41" s="1"/>
  <c r="C234" i="34"/>
  <c r="C237" i="34" s="1"/>
  <c r="G234" i="34"/>
  <c r="G237" i="34" s="1"/>
  <c r="E28" i="5"/>
  <c r="G87" i="2"/>
  <c r="I28" i="5"/>
  <c r="L87" i="2" s="1"/>
  <c r="H234" i="34"/>
  <c r="H237" i="34" s="1"/>
  <c r="P21" i="13"/>
  <c r="F69" i="34"/>
  <c r="F85" i="34" s="1"/>
  <c r="F70" i="34"/>
  <c r="F86" i="34" s="1"/>
  <c r="F68" i="34"/>
  <c r="F84" i="34" s="1"/>
  <c r="F87" i="34" s="1"/>
  <c r="E66" i="34"/>
  <c r="E68" i="34" s="1"/>
  <c r="E84" i="34" s="1"/>
  <c r="E87" i="34" s="1"/>
  <c r="D206" i="2"/>
  <c r="D205" i="2"/>
  <c r="C230" i="34"/>
  <c r="K61" i="11"/>
  <c r="K63" i="11" s="1"/>
  <c r="K65" i="11" s="1"/>
  <c r="K67" i="11" s="1"/>
  <c r="K68" i="11" s="1"/>
  <c r="E156" i="34"/>
  <c r="E172" i="34" s="1"/>
  <c r="B36" i="2"/>
  <c r="B39" i="2" s="1"/>
  <c r="B41" i="2" s="1"/>
  <c r="B21" i="2"/>
  <c r="E57" i="39"/>
  <c r="E103" i="2"/>
  <c r="A27" i="6"/>
  <c r="A29" i="6" s="1"/>
  <c r="A30" i="6" s="1"/>
  <c r="A31" i="6" s="1"/>
  <c r="F230" i="34"/>
  <c r="F207" i="34"/>
  <c r="F210" i="34" s="1"/>
  <c r="F215" i="34" s="1"/>
  <c r="F220" i="34" s="1"/>
  <c r="F236" i="34" s="1"/>
  <c r="F214" i="34"/>
  <c r="F219" i="34" s="1"/>
  <c r="C60" i="34"/>
  <c r="C65" i="34" s="1"/>
  <c r="C66" i="34" s="1"/>
  <c r="C69" i="34" s="1"/>
  <c r="C85" i="34" s="1"/>
  <c r="J57" i="34"/>
  <c r="J60" i="34" s="1"/>
  <c r="J65" i="34" s="1"/>
  <c r="C214" i="34"/>
  <c r="C219" i="34" s="1"/>
  <c r="I153" i="34"/>
  <c r="I156" i="34" s="1"/>
  <c r="I172" i="34" s="1"/>
  <c r="J64" i="34"/>
  <c r="J202" i="34"/>
  <c r="J80" i="34"/>
  <c r="G66" i="34"/>
  <c r="G70" i="34" s="1"/>
  <c r="G86" i="34" s="1"/>
  <c r="E214" i="34"/>
  <c r="E219" i="34" s="1"/>
  <c r="E230" i="34"/>
  <c r="E207" i="34"/>
  <c r="E210" i="34" s="1"/>
  <c r="E215" i="34" s="1"/>
  <c r="E220" i="34" s="1"/>
  <c r="E236" i="34" s="1"/>
  <c r="H153" i="34"/>
  <c r="H155" i="34" s="1"/>
  <c r="H171" i="34" s="1"/>
  <c r="H174" i="34" s="1"/>
  <c r="G108" i="2"/>
  <c r="L241" i="2"/>
  <c r="J251" i="2" s="1"/>
  <c r="L251" i="2" s="1"/>
  <c r="L254" i="2" s="1"/>
  <c r="J229" i="34"/>
  <c r="J234" i="34" s="1"/>
  <c r="J237" i="34" s="1"/>
  <c r="G24" i="35"/>
  <c r="I23" i="35"/>
  <c r="L23" i="35" s="1"/>
  <c r="H66" i="34"/>
  <c r="H68" i="34" s="1"/>
  <c r="H84" i="34" s="1"/>
  <c r="H87" i="34" s="1"/>
  <c r="F153" i="34"/>
  <c r="F157" i="34" s="1"/>
  <c r="F173" i="34" s="1"/>
  <c r="G153" i="34"/>
  <c r="G155" i="34" s="1"/>
  <c r="G171" i="34" s="1"/>
  <c r="G174" i="34" s="1"/>
  <c r="C147" i="34"/>
  <c r="C152" i="34" s="1"/>
  <c r="C153" i="34" s="1"/>
  <c r="C157" i="34" s="1"/>
  <c r="C173" i="34" s="1"/>
  <c r="J144" i="34"/>
  <c r="J147" i="34" s="1"/>
  <c r="J152" i="34" s="1"/>
  <c r="H207" i="34"/>
  <c r="H210" i="34" s="1"/>
  <c r="H215" i="34" s="1"/>
  <c r="H220" i="34" s="1"/>
  <c r="H236" i="34" s="1"/>
  <c r="H214" i="34"/>
  <c r="H219" i="34" s="1"/>
  <c r="H230" i="34"/>
  <c r="J53" i="34"/>
  <c r="J203" i="34" s="1"/>
  <c r="L242" i="2" s="1"/>
  <c r="J252" i="2" s="1"/>
  <c r="E88" i="2"/>
  <c r="C22" i="31"/>
  <c r="I66" i="34"/>
  <c r="I68" i="34" s="1"/>
  <c r="I84" i="34" s="1"/>
  <c r="I87" i="34" s="1"/>
  <c r="G214" i="34"/>
  <c r="G219" i="34" s="1"/>
  <c r="G207" i="34"/>
  <c r="G210" i="34" s="1"/>
  <c r="G215" i="34" s="1"/>
  <c r="G220" i="34" s="1"/>
  <c r="G236" i="34" s="1"/>
  <c r="G230" i="34"/>
  <c r="J167" i="34"/>
  <c r="J151" i="34"/>
  <c r="I207" i="34"/>
  <c r="I210" i="34" s="1"/>
  <c r="I215" i="34" s="1"/>
  <c r="I220" i="34" s="1"/>
  <c r="I236" i="34" s="1"/>
  <c r="I214" i="34"/>
  <c r="I219" i="34" s="1"/>
  <c r="I230" i="34"/>
  <c r="G48" i="11"/>
  <c r="G82" i="2"/>
  <c r="A52" i="11"/>
  <c r="A53" i="11" s="1"/>
  <c r="A67" i="9"/>
  <c r="A68" i="9" s="1"/>
  <c r="A70" i="9" s="1"/>
  <c r="A71" i="9" s="1"/>
  <c r="A73" i="9" s="1"/>
  <c r="E145" i="2" s="1"/>
  <c r="E144" i="2"/>
  <c r="C210" i="34"/>
  <c r="C215" i="34" s="1"/>
  <c r="C220" i="34" s="1"/>
  <c r="C236" i="34" s="1"/>
  <c r="B50" i="39"/>
  <c r="A74" i="39"/>
  <c r="A75" i="39" s="1"/>
  <c r="B79" i="34"/>
  <c r="A28" i="34"/>
  <c r="C51" i="11"/>
  <c r="E57" i="11"/>
  <c r="K57" i="11"/>
  <c r="K58" i="11" s="1"/>
  <c r="G57" i="11"/>
  <c r="I57" i="11"/>
  <c r="I58" i="11" s="1"/>
  <c r="I59" i="11" s="1"/>
  <c r="J71" i="2"/>
  <c r="G76" i="2"/>
  <c r="A42" i="5"/>
  <c r="A43" i="5" s="1"/>
  <c r="A44" i="5" s="1"/>
  <c r="A47" i="5" s="1"/>
  <c r="A49" i="5" s="1"/>
  <c r="E157" i="34"/>
  <c r="E173" i="34" s="1"/>
  <c r="L207" i="2"/>
  <c r="L63" i="2" s="1"/>
  <c r="D36" i="5"/>
  <c r="A27" i="40"/>
  <c r="A28" i="40" s="1"/>
  <c r="A29" i="40" s="1"/>
  <c r="A30" i="40" s="1"/>
  <c r="G63" i="36"/>
  <c r="G72" i="36" s="1"/>
  <c r="G78" i="36" s="1"/>
  <c r="D72" i="36"/>
  <c r="D78" i="36" s="1"/>
  <c r="J233" i="2"/>
  <c r="G236" i="2" l="1"/>
  <c r="E22" i="20"/>
  <c r="I25" i="41"/>
  <c r="L25" i="41" s="1"/>
  <c r="E67" i="11"/>
  <c r="E68" i="11" s="1"/>
  <c r="E69" i="11" s="1"/>
  <c r="G67" i="11"/>
  <c r="I67" i="11"/>
  <c r="I68" i="11" s="1"/>
  <c r="I69" i="11" s="1"/>
  <c r="C235" i="34"/>
  <c r="F235" i="34"/>
  <c r="E69" i="34"/>
  <c r="E85" i="34" s="1"/>
  <c r="E70" i="34"/>
  <c r="E86" i="34" s="1"/>
  <c r="C155" i="34"/>
  <c r="C171" i="34" s="1"/>
  <c r="C174" i="34" s="1"/>
  <c r="I69" i="34"/>
  <c r="I85" i="34" s="1"/>
  <c r="C156" i="34"/>
  <c r="C172" i="34" s="1"/>
  <c r="B42" i="2"/>
  <c r="H235" i="34"/>
  <c r="D44" i="5"/>
  <c r="G157" i="34"/>
  <c r="G173" i="34" s="1"/>
  <c r="J207" i="34"/>
  <c r="L245" i="2" s="1"/>
  <c r="L248" i="2" s="1"/>
  <c r="J153" i="34"/>
  <c r="J155" i="34" s="1"/>
  <c r="J171" i="34" s="1"/>
  <c r="J174" i="34" s="1"/>
  <c r="H69" i="34"/>
  <c r="H85" i="34" s="1"/>
  <c r="E235" i="34"/>
  <c r="L209" i="2"/>
  <c r="I26" i="41"/>
  <c r="L26" i="41" s="1"/>
  <c r="G27" i="41"/>
  <c r="H70" i="34"/>
  <c r="H86" i="34" s="1"/>
  <c r="G235" i="34"/>
  <c r="G156" i="34"/>
  <c r="G172" i="34" s="1"/>
  <c r="G69" i="34"/>
  <c r="G85" i="34" s="1"/>
  <c r="G68" i="34"/>
  <c r="G84" i="34" s="1"/>
  <c r="G87" i="34" s="1"/>
  <c r="H157" i="34"/>
  <c r="H173" i="34" s="1"/>
  <c r="E107" i="2"/>
  <c r="E104"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5" i="2"/>
  <c r="E106" i="2"/>
  <c r="I157" i="34"/>
  <c r="I173" i="34" s="1"/>
  <c r="I155" i="34"/>
  <c r="I171" i="34" s="1"/>
  <c r="I174" i="34" s="1"/>
  <c r="C70" i="34"/>
  <c r="C86" i="34" s="1"/>
  <c r="C68" i="34"/>
  <c r="C84" i="34" s="1"/>
  <c r="C87" i="34" s="1"/>
  <c r="J66" i="34"/>
  <c r="J68" i="34" s="1"/>
  <c r="J84" i="34" s="1"/>
  <c r="J87" i="34" s="1"/>
  <c r="I24" i="35"/>
  <c r="L24" i="35" s="1"/>
  <c r="G25" i="35"/>
  <c r="E89" i="2"/>
  <c r="I235" i="34"/>
  <c r="F155" i="34"/>
  <c r="F171" i="34" s="1"/>
  <c r="F174" i="34" s="1"/>
  <c r="F156" i="34"/>
  <c r="F172" i="34" s="1"/>
  <c r="H156" i="34"/>
  <c r="H172" i="34" s="1"/>
  <c r="J214" i="34"/>
  <c r="J219" i="34" s="1"/>
  <c r="J230" i="34"/>
  <c r="I70" i="34"/>
  <c r="I86" i="34" s="1"/>
  <c r="J154" i="2"/>
  <c r="L154" i="2" s="1"/>
  <c r="J72" i="2"/>
  <c r="L72" i="2" s="1"/>
  <c r="A54" i="11"/>
  <c r="A55" i="11" s="1"/>
  <c r="A29" i="34"/>
  <c r="C53" i="11"/>
  <c r="A33" i="40"/>
  <c r="E146" i="2" s="1"/>
  <c r="C33" i="40"/>
  <c r="C30" i="40"/>
  <c r="H75" i="13"/>
  <c r="G75" i="20"/>
  <c r="J69" i="2"/>
  <c r="A50" i="5"/>
  <c r="A51" i="5" s="1"/>
  <c r="E58" i="11"/>
  <c r="M57" i="11"/>
  <c r="A76" i="39"/>
  <c r="E224" i="2"/>
  <c r="B76" i="39"/>
  <c r="M48" i="11"/>
  <c r="G51" i="11"/>
  <c r="H233" i="2"/>
  <c r="H235" i="2"/>
  <c r="H234" i="2"/>
  <c r="E21" i="13"/>
  <c r="E21" i="20"/>
  <c r="J143" i="2" l="1"/>
  <c r="L143" i="2" s="1"/>
  <c r="J134" i="2"/>
  <c r="J101" i="2" s="1"/>
  <c r="L101" i="2" s="1"/>
  <c r="J213" i="2"/>
  <c r="L213" i="2" s="1"/>
  <c r="J210" i="34"/>
  <c r="J215" i="34" s="1"/>
  <c r="J220" i="34" s="1"/>
  <c r="J236" i="34" s="1"/>
  <c r="B43" i="2"/>
  <c r="D305" i="2" s="1"/>
  <c r="G26" i="35"/>
  <c r="I25" i="35"/>
  <c r="L25" i="35" s="1"/>
  <c r="G252" i="2"/>
  <c r="J235" i="34"/>
  <c r="J69" i="34"/>
  <c r="J85" i="34" s="1"/>
  <c r="G28" i="41"/>
  <c r="I27" i="41"/>
  <c r="L27" i="41" s="1"/>
  <c r="A70" i="6"/>
  <c r="A71" i="6" s="1"/>
  <c r="A72" i="6"/>
  <c r="A73" i="6" s="1"/>
  <c r="A74" i="6" s="1"/>
  <c r="A75" i="6" s="1"/>
  <c r="A76" i="6" s="1"/>
  <c r="A77" i="6" s="1"/>
  <c r="A78" i="6" s="1"/>
  <c r="J144" i="2"/>
  <c r="L144" i="2" s="1"/>
  <c r="J70" i="34"/>
  <c r="J86" i="34" s="1"/>
  <c r="J156" i="34"/>
  <c r="J172" i="34" s="1"/>
  <c r="J157" i="34"/>
  <c r="J173" i="34" s="1"/>
  <c r="A30" i="34"/>
  <c r="A31" i="34" s="1"/>
  <c r="E59" i="11"/>
  <c r="G53" i="11"/>
  <c r="M51" i="11"/>
  <c r="D51" i="5"/>
  <c r="C55" i="11"/>
  <c r="G61" i="11"/>
  <c r="A52" i="5"/>
  <c r="E90" i="2" s="1"/>
  <c r="C56" i="11"/>
  <c r="A56" i="11"/>
  <c r="F59" i="13"/>
  <c r="G59" i="20"/>
  <c r="H76" i="13"/>
  <c r="H77" i="13" s="1"/>
  <c r="H78" i="13" s="1"/>
  <c r="H79" i="13" s="1"/>
  <c r="G76" i="20"/>
  <c r="G77" i="20" s="1"/>
  <c r="G78" i="20" s="1"/>
  <c r="G79" i="20" s="1"/>
  <c r="D23" i="20"/>
  <c r="F23" i="20" s="1"/>
  <c r="L235" i="2"/>
  <c r="I235" i="2"/>
  <c r="D23" i="13" s="1"/>
  <c r="F23" i="13" s="1"/>
  <c r="H236" i="2"/>
  <c r="D21" i="20"/>
  <c r="F21" i="20" s="1"/>
  <c r="D21" i="13"/>
  <c r="F21" i="13" s="1"/>
  <c r="D22" i="20"/>
  <c r="F22" i="20" s="1"/>
  <c r="L234" i="2"/>
  <c r="I234" i="2"/>
  <c r="D22" i="13"/>
  <c r="F22" i="13" s="1"/>
  <c r="L217" i="2" l="1"/>
  <c r="L219" i="2" s="1"/>
  <c r="J74" i="2" s="1"/>
  <c r="L74" i="2" s="1"/>
  <c r="J64" i="2"/>
  <c r="L64" i="2" s="1"/>
  <c r="J161" i="2"/>
  <c r="L161" i="2" s="1"/>
  <c r="L134" i="2"/>
  <c r="J67" i="2"/>
  <c r="L67" i="2" s="1"/>
  <c r="J66" i="2"/>
  <c r="L66" i="2" s="1"/>
  <c r="J65" i="2"/>
  <c r="L65" i="2" s="1"/>
  <c r="J104" i="2"/>
  <c r="L104" i="2" s="1"/>
  <c r="J146" i="2"/>
  <c r="L146" i="2" s="1"/>
  <c r="J75" i="2"/>
  <c r="L75" i="2" s="1"/>
  <c r="J155" i="2"/>
  <c r="L155" i="2" s="1"/>
  <c r="J97" i="2"/>
  <c r="L97" i="2" s="1"/>
  <c r="J141" i="2"/>
  <c r="L141" i="2" s="1"/>
  <c r="J156" i="2"/>
  <c r="L156" i="2" s="1"/>
  <c r="J102" i="2"/>
  <c r="L102" i="2" s="1"/>
  <c r="G253" i="2"/>
  <c r="H253" i="2" s="1"/>
  <c r="B45" i="2"/>
  <c r="B63" i="2" s="1"/>
  <c r="E45" i="2"/>
  <c r="I28" i="41"/>
  <c r="L28" i="41" s="1"/>
  <c r="G29" i="41"/>
  <c r="H252" i="2"/>
  <c r="L252" i="2"/>
  <c r="I26" i="35"/>
  <c r="L26" i="35" s="1"/>
  <c r="G27" i="35"/>
  <c r="D547" i="20"/>
  <c r="I548" i="20" s="1"/>
  <c r="E551" i="20" s="1"/>
  <c r="D367" i="20"/>
  <c r="I368" i="20" s="1"/>
  <c r="E371" i="20" s="1"/>
  <c r="D637" i="20"/>
  <c r="I638" i="20" s="1"/>
  <c r="E641" i="20" s="1"/>
  <c r="D457" i="20"/>
  <c r="I458" i="20" s="1"/>
  <c r="E461" i="20" s="1"/>
  <c r="D277" i="20"/>
  <c r="I278" i="20" s="1"/>
  <c r="E281" i="20" s="1"/>
  <c r="D727" i="20"/>
  <c r="I728" i="20" s="1"/>
  <c r="E731" i="20" s="1"/>
  <c r="D817" i="20"/>
  <c r="I818" i="20" s="1"/>
  <c r="E821" i="20" s="1"/>
  <c r="D187" i="20"/>
  <c r="I188" i="20" s="1"/>
  <c r="E191" i="20" s="1"/>
  <c r="D997" i="20"/>
  <c r="I998" i="20" s="1"/>
  <c r="E1001" i="20" s="1"/>
  <c r="D97" i="20"/>
  <c r="I98" i="20" s="1"/>
  <c r="E101" i="20" s="1"/>
  <c r="D907" i="20"/>
  <c r="I908" i="20" s="1"/>
  <c r="E911" i="20" s="1"/>
  <c r="A57" i="11"/>
  <c r="C57" i="11"/>
  <c r="M61" i="11"/>
  <c r="G63" i="11"/>
  <c r="A32" i="34"/>
  <c r="B32" i="34"/>
  <c r="D96" i="13"/>
  <c r="J97" i="13" s="1"/>
  <c r="E100" i="13" s="1"/>
  <c r="D530" i="13"/>
  <c r="J531" i="13" s="1"/>
  <c r="E534" i="13" s="1"/>
  <c r="D878" i="13"/>
  <c r="J879" i="13" s="1"/>
  <c r="E882" i="13" s="1"/>
  <c r="D617" i="13"/>
  <c r="J618" i="13" s="1"/>
  <c r="E621" i="13" s="1"/>
  <c r="D356" i="13"/>
  <c r="J357" i="13" s="1"/>
  <c r="E360" i="13" s="1"/>
  <c r="D443" i="13"/>
  <c r="J444" i="13" s="1"/>
  <c r="E447" i="13" s="1"/>
  <c r="D791" i="13"/>
  <c r="J792" i="13" s="1"/>
  <c r="E795" i="13" s="1"/>
  <c r="D965" i="13"/>
  <c r="J966" i="13" s="1"/>
  <c r="E969" i="13" s="1"/>
  <c r="D704" i="13"/>
  <c r="J705" i="13" s="1"/>
  <c r="E708" i="13" s="1"/>
  <c r="D182" i="13"/>
  <c r="J183" i="13" s="1"/>
  <c r="E186" i="13" s="1"/>
  <c r="D269" i="13"/>
  <c r="J270" i="13" s="1"/>
  <c r="E273" i="13" s="1"/>
  <c r="M53" i="11"/>
  <c r="G55" i="11"/>
  <c r="G58" i="11" s="1"/>
  <c r="M58" i="11" s="1"/>
  <c r="B31" i="34"/>
  <c r="F24" i="20"/>
  <c r="F29" i="20" s="1"/>
  <c r="I233" i="2"/>
  <c r="L233" i="2" s="1"/>
  <c r="F24" i="13"/>
  <c r="E29" i="13" s="1"/>
  <c r="L100" i="2" l="1"/>
  <c r="L236" i="2"/>
  <c r="L79" i="2"/>
  <c r="J73" i="2"/>
  <c r="L73" i="2" s="1"/>
  <c r="L157" i="2"/>
  <c r="L68" i="2"/>
  <c r="J68" i="2" s="1"/>
  <c r="J103" i="2" s="1"/>
  <c r="L103" i="2" s="1"/>
  <c r="L81" i="2"/>
  <c r="L253" i="2"/>
  <c r="C75" i="20"/>
  <c r="C75" i="13"/>
  <c r="B64" i="2"/>
  <c r="B65" i="2" s="1"/>
  <c r="B66" i="2" s="1"/>
  <c r="B67" i="2" s="1"/>
  <c r="B68" i="2" s="1"/>
  <c r="B70" i="2" s="1"/>
  <c r="B71" i="2" s="1"/>
  <c r="B72" i="2" s="1"/>
  <c r="B73" i="2" s="1"/>
  <c r="B74" i="2" s="1"/>
  <c r="B75" i="2" s="1"/>
  <c r="E204" i="2"/>
  <c r="I29" i="41"/>
  <c r="L29" i="41" s="1"/>
  <c r="G30" i="41"/>
  <c r="G28" i="35"/>
  <c r="I27" i="35"/>
  <c r="L27" i="35" s="1"/>
  <c r="F100" i="13"/>
  <c r="F731" i="20"/>
  <c r="D732" i="20" s="1"/>
  <c r="F969" i="13"/>
  <c r="F621" i="13"/>
  <c r="G65" i="11"/>
  <c r="G68" i="11" s="1"/>
  <c r="M68" i="11" s="1"/>
  <c r="M63" i="11"/>
  <c r="F1001" i="20"/>
  <c r="D1002" i="20" s="1"/>
  <c r="F281" i="20"/>
  <c r="D282" i="20" s="1"/>
  <c r="F551" i="20"/>
  <c r="D552" i="20" s="1"/>
  <c r="F360" i="13"/>
  <c r="F101" i="20"/>
  <c r="D102" i="20" s="1"/>
  <c r="F273" i="13"/>
  <c r="F795" i="13"/>
  <c r="F882" i="13"/>
  <c r="A58" i="11"/>
  <c r="C58" i="11"/>
  <c r="F191" i="20"/>
  <c r="D192" i="20" s="1"/>
  <c r="F461" i="20"/>
  <c r="D462" i="20" s="1"/>
  <c r="F708" i="13"/>
  <c r="A34" i="34"/>
  <c r="F371" i="20"/>
  <c r="D372" i="20" s="1"/>
  <c r="F186" i="13"/>
  <c r="F447" i="13"/>
  <c r="F534" i="13"/>
  <c r="F64" i="13"/>
  <c r="G64" i="20"/>
  <c r="F911" i="20"/>
  <c r="D912" i="20" s="1"/>
  <c r="F821" i="20"/>
  <c r="D822" i="20" s="1"/>
  <c r="F641" i="20"/>
  <c r="D642" i="20" s="1"/>
  <c r="G170" i="2"/>
  <c r="L80" i="2" l="1"/>
  <c r="L76" i="2"/>
  <c r="J105" i="2"/>
  <c r="L105" i="2" s="1"/>
  <c r="J142" i="2"/>
  <c r="L142" i="2" s="1"/>
  <c r="J165" i="2"/>
  <c r="L165" i="2" s="1"/>
  <c r="E68" i="2"/>
  <c r="E79" i="2"/>
  <c r="I28" i="35"/>
  <c r="L28" i="35" s="1"/>
  <c r="G29" i="35"/>
  <c r="G31" i="41"/>
  <c r="I30" i="41"/>
  <c r="L30" i="41" s="1"/>
  <c r="A35" i="34"/>
  <c r="G795" i="13"/>
  <c r="D796" i="13"/>
  <c r="D361" i="13"/>
  <c r="G360" i="13"/>
  <c r="E1002" i="20"/>
  <c r="F1002" i="20" s="1"/>
  <c r="D1003" i="20" s="1"/>
  <c r="D622" i="13"/>
  <c r="G621" i="13"/>
  <c r="D448" i="13"/>
  <c r="G447" i="13"/>
  <c r="E372" i="20"/>
  <c r="F372" i="20" s="1"/>
  <c r="D373" i="20" s="1"/>
  <c r="E462" i="20"/>
  <c r="F462" i="20" s="1"/>
  <c r="D463" i="20" s="1"/>
  <c r="A59" i="11"/>
  <c r="A61" i="11" s="1"/>
  <c r="A62" i="11" s="1"/>
  <c r="A63" i="11" s="1"/>
  <c r="C59" i="11"/>
  <c r="E80" i="2"/>
  <c r="E732" i="20"/>
  <c r="E822" i="20"/>
  <c r="F822" i="20" s="1"/>
  <c r="D823" i="20" s="1"/>
  <c r="E552" i="20"/>
  <c r="F552" i="20" s="1"/>
  <c r="D553" i="20" s="1"/>
  <c r="E642" i="20"/>
  <c r="G882" i="13"/>
  <c r="D883" i="13"/>
  <c r="G273" i="13"/>
  <c r="D274" i="13"/>
  <c r="E102" i="20"/>
  <c r="F102" i="20" s="1"/>
  <c r="D103" i="20" s="1"/>
  <c r="B76" i="2"/>
  <c r="B78" i="2" s="1"/>
  <c r="B79" i="2" s="1"/>
  <c r="E81" i="2"/>
  <c r="E76" i="2"/>
  <c r="E282" i="20"/>
  <c r="F282" i="20" s="1"/>
  <c r="D283" i="20" s="1"/>
  <c r="G969" i="13"/>
  <c r="D970" i="13"/>
  <c r="E912" i="20"/>
  <c r="F912" i="20" s="1"/>
  <c r="D913" i="20" s="1"/>
  <c r="D535" i="13"/>
  <c r="G534" i="13"/>
  <c r="D187" i="13"/>
  <c r="G186" i="13"/>
  <c r="D709" i="13"/>
  <c r="G708" i="13"/>
  <c r="E192" i="20"/>
  <c r="D101" i="13"/>
  <c r="G100" i="13"/>
  <c r="E35" i="13"/>
  <c r="F35" i="20"/>
  <c r="L189" i="2"/>
  <c r="G189" i="2"/>
  <c r="L82" i="2" l="1"/>
  <c r="J82" i="2" s="1"/>
  <c r="J175" i="2" s="1"/>
  <c r="L175" i="2" s="1"/>
  <c r="L179" i="2" s="1"/>
  <c r="E38" i="13" s="1"/>
  <c r="L147" i="2"/>
  <c r="L149" i="2" s="1"/>
  <c r="L151" i="2" s="1"/>
  <c r="L108" i="2"/>
  <c r="L166" i="2"/>
  <c r="J178" i="2"/>
  <c r="L178" i="2" s="1"/>
  <c r="J176" i="2"/>
  <c r="L176" i="2" s="1"/>
  <c r="G32" i="41"/>
  <c r="I31" i="41"/>
  <c r="G30" i="35"/>
  <c r="I29" i="35"/>
  <c r="L29" i="35" s="1"/>
  <c r="E1003" i="20"/>
  <c r="F1003" i="20" s="1"/>
  <c r="D1004" i="20" s="1"/>
  <c r="E913" i="20"/>
  <c r="F913" i="20" s="1"/>
  <c r="D914" i="20" s="1"/>
  <c r="E709" i="13"/>
  <c r="F709" i="13" s="1"/>
  <c r="D710" i="13" s="1"/>
  <c r="E187" i="13"/>
  <c r="F187" i="13" s="1"/>
  <c r="B80" i="2"/>
  <c r="B81" i="2" s="1"/>
  <c r="B82" i="2" s="1"/>
  <c r="C64" i="13"/>
  <c r="C64" i="20"/>
  <c r="E274" i="13"/>
  <c r="F274" i="13" s="1"/>
  <c r="D275" i="13" s="1"/>
  <c r="F642" i="20"/>
  <c r="D643" i="20" s="1"/>
  <c r="E823" i="20"/>
  <c r="F823" i="20" s="1"/>
  <c r="D824" i="20" s="1"/>
  <c r="E448" i="13"/>
  <c r="F448" i="13" s="1"/>
  <c r="D449" i="13" s="1"/>
  <c r="E463" i="20"/>
  <c r="E796" i="13"/>
  <c r="F796" i="13" s="1"/>
  <c r="E283" i="20"/>
  <c r="F283" i="20" s="1"/>
  <c r="D284" i="20" s="1"/>
  <c r="E553" i="20"/>
  <c r="F553" i="20" s="1"/>
  <c r="D554" i="20" s="1"/>
  <c r="E373" i="20"/>
  <c r="F373" i="20" s="1"/>
  <c r="D374" i="20" s="1"/>
  <c r="A36" i="34"/>
  <c r="A37" i="34" s="1"/>
  <c r="E103" i="20"/>
  <c r="F103" i="20" s="1"/>
  <c r="D104" i="20" s="1"/>
  <c r="E101" i="13"/>
  <c r="F101" i="13" s="1"/>
  <c r="F192" i="20"/>
  <c r="D193" i="20" s="1"/>
  <c r="E535" i="13"/>
  <c r="E970" i="13"/>
  <c r="E883" i="13"/>
  <c r="F883" i="13" s="1"/>
  <c r="D884" i="13" s="1"/>
  <c r="F732" i="20"/>
  <c r="D733" i="20" s="1"/>
  <c r="A64" i="11"/>
  <c r="A65" i="11" s="1"/>
  <c r="E622" i="13"/>
  <c r="F622" i="13" s="1"/>
  <c r="E361" i="13"/>
  <c r="F361" i="13" s="1"/>
  <c r="L180" i="2" l="1"/>
  <c r="E37" i="13"/>
  <c r="F38" i="20"/>
  <c r="F37" i="20"/>
  <c r="I30" i="35"/>
  <c r="L30" i="35" s="1"/>
  <c r="G31" i="35"/>
  <c r="L31" i="41"/>
  <c r="E82" i="2"/>
  <c r="G36" i="41"/>
  <c r="I32" i="41"/>
  <c r="L32" i="41" s="1"/>
  <c r="G39" i="41"/>
  <c r="G40" i="41" s="1"/>
  <c r="G41" i="41" s="1"/>
  <c r="G42" i="41" s="1"/>
  <c r="D623" i="13"/>
  <c r="G622" i="13"/>
  <c r="D797" i="13"/>
  <c r="G796" i="13"/>
  <c r="D188" i="13"/>
  <c r="G187" i="13"/>
  <c r="D102" i="13"/>
  <c r="G101" i="13"/>
  <c r="E824" i="20"/>
  <c r="F824" i="20" s="1"/>
  <c r="D825" i="20" s="1"/>
  <c r="E1004" i="20"/>
  <c r="F1004" i="20" s="1"/>
  <c r="D1005" i="20" s="1"/>
  <c r="E374" i="20"/>
  <c r="F374" i="20" s="1"/>
  <c r="D375" i="20" s="1"/>
  <c r="D362" i="13"/>
  <c r="G361" i="13"/>
  <c r="E193" i="20"/>
  <c r="F193" i="20" s="1"/>
  <c r="D194" i="20" s="1"/>
  <c r="E284" i="20"/>
  <c r="F284" i="20" s="1"/>
  <c r="D285" i="20" s="1"/>
  <c r="E449" i="13"/>
  <c r="F449" i="13" s="1"/>
  <c r="D450" i="13" s="1"/>
  <c r="E275" i="13"/>
  <c r="F275" i="13" s="1"/>
  <c r="D276" i="13" s="1"/>
  <c r="E710" i="13"/>
  <c r="F710" i="13" s="1"/>
  <c r="D711" i="13" s="1"/>
  <c r="A66" i="11"/>
  <c r="A67" i="11" s="1"/>
  <c r="C68" i="11" s="1"/>
  <c r="C66" i="11"/>
  <c r="F970" i="13"/>
  <c r="E104" i="20"/>
  <c r="F104" i="20" s="1"/>
  <c r="D105" i="20" s="1"/>
  <c r="A38" i="34"/>
  <c r="B38" i="34"/>
  <c r="F463" i="20"/>
  <c r="D464" i="20" s="1"/>
  <c r="G448" i="13"/>
  <c r="E643" i="20"/>
  <c r="F643" i="20" s="1"/>
  <c r="D644" i="20" s="1"/>
  <c r="B85" i="2"/>
  <c r="B86" i="2" s="1"/>
  <c r="G709" i="13"/>
  <c r="E884" i="13"/>
  <c r="F884" i="13" s="1"/>
  <c r="E914" i="20"/>
  <c r="C65" i="11"/>
  <c r="B37" i="34"/>
  <c r="C48" i="11"/>
  <c r="E733" i="20"/>
  <c r="F733" i="20" s="1"/>
  <c r="D734" i="20" s="1"/>
  <c r="G883" i="13"/>
  <c r="F535" i="13"/>
  <c r="E554" i="20"/>
  <c r="G274" i="13"/>
  <c r="F39" i="20" l="1"/>
  <c r="E39" i="13"/>
  <c r="L33" i="41"/>
  <c r="E36" i="41" s="1"/>
  <c r="I36" i="41" s="1"/>
  <c r="L36" i="41" s="1"/>
  <c r="E39" i="41" s="1"/>
  <c r="I39" i="41" s="1"/>
  <c r="I33" i="41"/>
  <c r="I31" i="35"/>
  <c r="G32" i="35"/>
  <c r="D885" i="13"/>
  <c r="G884" i="13"/>
  <c r="E644" i="20"/>
  <c r="F644" i="20" s="1"/>
  <c r="D645" i="20" s="1"/>
  <c r="E276" i="13"/>
  <c r="F276" i="13" s="1"/>
  <c r="E450" i="13"/>
  <c r="F450" i="13" s="1"/>
  <c r="E194" i="20"/>
  <c r="F194" i="20" s="1"/>
  <c r="D195" i="20" s="1"/>
  <c r="E375" i="20"/>
  <c r="F375" i="20" s="1"/>
  <c r="D376" i="20" s="1"/>
  <c r="E825" i="20"/>
  <c r="F825" i="20" s="1"/>
  <c r="D826" i="20" s="1"/>
  <c r="E797" i="13"/>
  <c r="F797" i="13" s="1"/>
  <c r="E734" i="20"/>
  <c r="F734" i="20" s="1"/>
  <c r="D735" i="20" s="1"/>
  <c r="G43" i="41"/>
  <c r="A40" i="34"/>
  <c r="E711" i="13"/>
  <c r="F711" i="13" s="1"/>
  <c r="D712" i="13" s="1"/>
  <c r="E188" i="13"/>
  <c r="F188" i="13" s="1"/>
  <c r="D189" i="13" s="1"/>
  <c r="B87" i="2"/>
  <c r="B88" i="2" s="1"/>
  <c r="B89" i="2" s="1"/>
  <c r="B90" i="2" s="1"/>
  <c r="B91" i="2" s="1"/>
  <c r="E105" i="20"/>
  <c r="F105" i="20" s="1"/>
  <c r="D106" i="20" s="1"/>
  <c r="G710" i="13"/>
  <c r="G275" i="13"/>
  <c r="E285" i="20"/>
  <c r="F285" i="20" s="1"/>
  <c r="D286" i="20" s="1"/>
  <c r="E1005" i="20"/>
  <c r="F1005" i="20" s="1"/>
  <c r="D1006" i="20" s="1"/>
  <c r="F554" i="20"/>
  <c r="D555" i="20" s="1"/>
  <c r="D536" i="13"/>
  <c r="G535" i="13"/>
  <c r="F914" i="20"/>
  <c r="D915" i="20" s="1"/>
  <c r="E464" i="20"/>
  <c r="F464" i="20" s="1"/>
  <c r="D465" i="20" s="1"/>
  <c r="D971" i="13"/>
  <c r="G970" i="13"/>
  <c r="C67" i="11"/>
  <c r="A68" i="11"/>
  <c r="G449" i="13"/>
  <c r="E362" i="13"/>
  <c r="F362" i="13" s="1"/>
  <c r="E102" i="13"/>
  <c r="F102" i="13" s="1"/>
  <c r="D103" i="13" s="1"/>
  <c r="E623" i="13"/>
  <c r="F623" i="13" s="1"/>
  <c r="J39" i="41" l="1"/>
  <c r="J40" i="41" s="1"/>
  <c r="J41" i="41" s="1"/>
  <c r="J42" i="41" s="1"/>
  <c r="J43" i="41" s="1"/>
  <c r="J44" i="41" s="1"/>
  <c r="J45" i="41" s="1"/>
  <c r="J46" i="41" s="1"/>
  <c r="J47" i="41" s="1"/>
  <c r="J48" i="41" s="1"/>
  <c r="J49" i="41" s="1"/>
  <c r="J50" i="41" s="1"/>
  <c r="D363" i="13"/>
  <c r="E363" i="13" s="1"/>
  <c r="F363" i="13" s="1"/>
  <c r="D364" i="13" s="1"/>
  <c r="G362" i="13"/>
  <c r="D624" i="13"/>
  <c r="E624" i="13" s="1"/>
  <c r="F624" i="13" s="1"/>
  <c r="G623" i="13"/>
  <c r="D798" i="13"/>
  <c r="E798" i="13" s="1"/>
  <c r="F798" i="13" s="1"/>
  <c r="G797" i="13"/>
  <c r="I32" i="35"/>
  <c r="L32" i="35" s="1"/>
  <c r="G36" i="35"/>
  <c r="G39" i="35"/>
  <c r="G40" i="35" s="1"/>
  <c r="G41" i="35" s="1"/>
  <c r="G42" i="35" s="1"/>
  <c r="L31" i="35"/>
  <c r="E91" i="2"/>
  <c r="D451" i="13"/>
  <c r="G450" i="13"/>
  <c r="E286" i="20"/>
  <c r="F286" i="20" s="1"/>
  <c r="D287" i="20" s="1"/>
  <c r="D277" i="13"/>
  <c r="G276" i="13"/>
  <c r="E915" i="20"/>
  <c r="F915" i="20" s="1"/>
  <c r="D916" i="20" s="1"/>
  <c r="E106" i="20"/>
  <c r="F106" i="20" s="1"/>
  <c r="D107" i="20" s="1"/>
  <c r="E189" i="13"/>
  <c r="F189" i="13" s="1"/>
  <c r="D190" i="13" s="1"/>
  <c r="A69" i="11"/>
  <c r="C69" i="11"/>
  <c r="A41" i="34"/>
  <c r="E735" i="20"/>
  <c r="F735" i="20" s="1"/>
  <c r="D736" i="20" s="1"/>
  <c r="G102" i="13"/>
  <c r="E465" i="20"/>
  <c r="F465" i="20" s="1"/>
  <c r="D466" i="20" s="1"/>
  <c r="E1006" i="20"/>
  <c r="F1006" i="20" s="1"/>
  <c r="D1007" i="20" s="1"/>
  <c r="E376" i="20"/>
  <c r="F376" i="20" s="1"/>
  <c r="D377" i="20" s="1"/>
  <c r="E536" i="13"/>
  <c r="B93" i="2"/>
  <c r="B95" i="2" s="1"/>
  <c r="B97" i="2" s="1"/>
  <c r="B99" i="2" s="1"/>
  <c r="B100" i="2" s="1"/>
  <c r="G188" i="13"/>
  <c r="G711" i="13"/>
  <c r="E103" i="13"/>
  <c r="F103" i="13" s="1"/>
  <c r="E971" i="13"/>
  <c r="E555" i="20"/>
  <c r="F555" i="20" s="1"/>
  <c r="D556" i="20" s="1"/>
  <c r="E712" i="13"/>
  <c r="F712" i="13" s="1"/>
  <c r="G44" i="41"/>
  <c r="E826" i="20"/>
  <c r="F826" i="20" s="1"/>
  <c r="D827" i="20" s="1"/>
  <c r="E195" i="20"/>
  <c r="F195" i="20" s="1"/>
  <c r="D196" i="20" s="1"/>
  <c r="E645" i="20"/>
  <c r="F645" i="20" s="1"/>
  <c r="D646" i="20" s="1"/>
  <c r="E885" i="13"/>
  <c r="J53" i="41" l="1"/>
  <c r="J55" i="41" s="1"/>
  <c r="L39" i="41"/>
  <c r="E40" i="41" s="1"/>
  <c r="I40" i="41" s="1"/>
  <c r="L33" i="35"/>
  <c r="E36" i="35" s="1"/>
  <c r="I36" i="35" s="1"/>
  <c r="L36" i="35" s="1"/>
  <c r="I33" i="35"/>
  <c r="D713" i="13"/>
  <c r="G712" i="13"/>
  <c r="E466" i="20"/>
  <c r="F466" i="20" s="1"/>
  <c r="D467" i="20" s="1"/>
  <c r="E196" i="20"/>
  <c r="F196" i="20" s="1"/>
  <c r="D197" i="20" s="1"/>
  <c r="D625" i="13"/>
  <c r="G624" i="13"/>
  <c r="E556" i="20"/>
  <c r="F556" i="20" s="1"/>
  <c r="D557" i="20" s="1"/>
  <c r="D104" i="13"/>
  <c r="G103" i="13"/>
  <c r="D799" i="13"/>
  <c r="G798" i="13"/>
  <c r="E364" i="13"/>
  <c r="F364" i="13" s="1"/>
  <c r="E190" i="13"/>
  <c r="F190" i="13" s="1"/>
  <c r="D191" i="13" s="1"/>
  <c r="E107" i="20"/>
  <c r="F107" i="20" s="1"/>
  <c r="D108" i="20" s="1"/>
  <c r="E827" i="20"/>
  <c r="F827" i="20" s="1"/>
  <c r="D828" i="20" s="1"/>
  <c r="E1007" i="20"/>
  <c r="F1007" i="20" s="1"/>
  <c r="D1008" i="20" s="1"/>
  <c r="A42" i="34"/>
  <c r="A43" i="34" s="1"/>
  <c r="G189" i="13"/>
  <c r="E916" i="20"/>
  <c r="F916" i="20" s="1"/>
  <c r="D917" i="20" s="1"/>
  <c r="E287" i="20"/>
  <c r="F287" i="20" s="1"/>
  <c r="D288" i="20" s="1"/>
  <c r="E451" i="13"/>
  <c r="F451" i="13" s="1"/>
  <c r="G43" i="35"/>
  <c r="E377" i="20"/>
  <c r="F377" i="20" s="1"/>
  <c r="D378" i="20" s="1"/>
  <c r="E646" i="20"/>
  <c r="F646" i="20" s="1"/>
  <c r="D647" i="20" s="1"/>
  <c r="E736" i="20"/>
  <c r="F736" i="20" s="1"/>
  <c r="D737" i="20" s="1"/>
  <c r="B101" i="2"/>
  <c r="B102" i="2" s="1"/>
  <c r="B103" i="2" s="1"/>
  <c r="B104" i="2" s="1"/>
  <c r="B105" i="2" s="1"/>
  <c r="B106" i="2" s="1"/>
  <c r="B107" i="2" s="1"/>
  <c r="B108" i="2" s="1"/>
  <c r="B110" i="2" s="1"/>
  <c r="E277" i="13"/>
  <c r="F277" i="13" s="1"/>
  <c r="F885" i="13"/>
  <c r="G45" i="41"/>
  <c r="F971" i="13"/>
  <c r="F536" i="13"/>
  <c r="G363" i="13"/>
  <c r="D112" i="2" l="1"/>
  <c r="L40" i="41"/>
  <c r="E41" i="41" s="1"/>
  <c r="E39" i="35"/>
  <c r="J39" i="35"/>
  <c r="J40" i="35" s="1"/>
  <c r="J41" i="35" s="1"/>
  <c r="J42" i="35" s="1"/>
  <c r="J43" i="35" s="1"/>
  <c r="J44" i="35" s="1"/>
  <c r="J45" i="35" s="1"/>
  <c r="J46" i="35" s="1"/>
  <c r="J47" i="35" s="1"/>
  <c r="J48" i="35" s="1"/>
  <c r="J49" i="35" s="1"/>
  <c r="J50" i="35" s="1"/>
  <c r="E108" i="2"/>
  <c r="E917" i="20"/>
  <c r="F917" i="20" s="1"/>
  <c r="D452" i="13"/>
  <c r="G451" i="13"/>
  <c r="E737" i="20"/>
  <c r="F737" i="20" s="1"/>
  <c r="E647" i="20"/>
  <c r="F647" i="20" s="1"/>
  <c r="D648" i="20" s="1"/>
  <c r="D365" i="13"/>
  <c r="G364" i="13"/>
  <c r="D278" i="13"/>
  <c r="G277" i="13"/>
  <c r="E378" i="20"/>
  <c r="F378" i="20" s="1"/>
  <c r="D379" i="20" s="1"/>
  <c r="E108" i="20"/>
  <c r="F108" i="20" s="1"/>
  <c r="E197" i="20"/>
  <c r="F197" i="20" s="1"/>
  <c r="E828" i="20"/>
  <c r="F828" i="20" s="1"/>
  <c r="D829" i="20" s="1"/>
  <c r="E467" i="20"/>
  <c r="F467" i="20" s="1"/>
  <c r="D537" i="13"/>
  <c r="G536" i="13"/>
  <c r="E288" i="20"/>
  <c r="F288" i="20" s="1"/>
  <c r="E104" i="13"/>
  <c r="F104" i="13" s="1"/>
  <c r="E625" i="13"/>
  <c r="F625" i="13" s="1"/>
  <c r="D886" i="13"/>
  <c r="G885" i="13"/>
  <c r="A44" i="34"/>
  <c r="B44" i="34"/>
  <c r="E557" i="20"/>
  <c r="F557" i="20" s="1"/>
  <c r="D558" i="20" s="1"/>
  <c r="G46" i="41"/>
  <c r="E1008" i="20"/>
  <c r="F1008" i="20" s="1"/>
  <c r="E191" i="13"/>
  <c r="F191" i="13" s="1"/>
  <c r="D972" i="13"/>
  <c r="G971" i="13"/>
  <c r="B112" i="2"/>
  <c r="D301" i="2"/>
  <c r="G44" i="35"/>
  <c r="B43" i="34"/>
  <c r="G190" i="13"/>
  <c r="E799" i="13"/>
  <c r="F799" i="13" s="1"/>
  <c r="D800" i="13" s="1"/>
  <c r="E713" i="13"/>
  <c r="F713" i="13" s="1"/>
  <c r="J53" i="35" l="1"/>
  <c r="J55" i="35" s="1"/>
  <c r="L41" i="41"/>
  <c r="E42" i="41" s="1"/>
  <c r="I41" i="41"/>
  <c r="D918" i="20"/>
  <c r="E918" i="20" s="1"/>
  <c r="F918" i="20" s="1"/>
  <c r="D468" i="20"/>
  <c r="E468" i="20" s="1"/>
  <c r="F468" i="20" s="1"/>
  <c r="L39" i="35"/>
  <c r="E40" i="35" s="1"/>
  <c r="I39" i="35"/>
  <c r="D738" i="20"/>
  <c r="E738" i="20" s="1"/>
  <c r="F738" i="20" s="1"/>
  <c r="D109" i="20"/>
  <c r="E109" i="20" s="1"/>
  <c r="F109" i="20" s="1"/>
  <c r="D626" i="13"/>
  <c r="E626" i="13" s="1"/>
  <c r="F626" i="13" s="1"/>
  <c r="G625" i="13"/>
  <c r="D192" i="13"/>
  <c r="E192" i="13" s="1"/>
  <c r="F192" i="13" s="1"/>
  <c r="G191" i="13"/>
  <c r="D1009" i="20"/>
  <c r="D105" i="13"/>
  <c r="G104" i="13"/>
  <c r="D714" i="13"/>
  <c r="G713" i="13"/>
  <c r="D289" i="20"/>
  <c r="D198" i="20"/>
  <c r="B127" i="2"/>
  <c r="C28" i="13"/>
  <c r="C28" i="20"/>
  <c r="A46" i="34"/>
  <c r="E537" i="13"/>
  <c r="F537" i="13" s="1"/>
  <c r="E278" i="13"/>
  <c r="F278" i="13" s="1"/>
  <c r="D279" i="13" s="1"/>
  <c r="E452" i="13"/>
  <c r="F452" i="13" s="1"/>
  <c r="D453" i="13" s="1"/>
  <c r="E558" i="20"/>
  <c r="F558" i="20" s="1"/>
  <c r="E829" i="20"/>
  <c r="F829" i="20" s="1"/>
  <c r="D830" i="20" s="1"/>
  <c r="E648" i="20"/>
  <c r="F648" i="20" s="1"/>
  <c r="G799" i="13"/>
  <c r="G45" i="35"/>
  <c r="E972" i="13"/>
  <c r="F972" i="13" s="1"/>
  <c r="G47" i="41"/>
  <c r="E886" i="13"/>
  <c r="F886" i="13" s="1"/>
  <c r="E379" i="20"/>
  <c r="F379" i="20" s="1"/>
  <c r="E800" i="13"/>
  <c r="F800" i="13" s="1"/>
  <c r="E365" i="13"/>
  <c r="F365" i="13" s="1"/>
  <c r="D366" i="13" s="1"/>
  <c r="L42" i="41" l="1"/>
  <c r="E43" i="41" s="1"/>
  <c r="I42" i="41"/>
  <c r="L40" i="35"/>
  <c r="E41" i="35" s="1"/>
  <c r="I40" i="35"/>
  <c r="D627" i="13"/>
  <c r="E627" i="13" s="1"/>
  <c r="G626" i="13"/>
  <c r="G365" i="13"/>
  <c r="D973" i="13"/>
  <c r="G972" i="13"/>
  <c r="D649" i="20"/>
  <c r="D739" i="20"/>
  <c r="D559" i="20"/>
  <c r="D110" i="20"/>
  <c r="D919" i="20"/>
  <c r="D801" i="13"/>
  <c r="G800" i="13"/>
  <c r="D887" i="13"/>
  <c r="G886" i="13"/>
  <c r="D193" i="13"/>
  <c r="G192" i="13"/>
  <c r="D469" i="20"/>
  <c r="D538" i="13"/>
  <c r="G537" i="13"/>
  <c r="D380" i="20"/>
  <c r="E830" i="20"/>
  <c r="F830" i="20" s="1"/>
  <c r="E279" i="13"/>
  <c r="F279" i="13" s="1"/>
  <c r="D280" i="13" s="1"/>
  <c r="B128" i="2"/>
  <c r="B129" i="2" s="1"/>
  <c r="E130" i="2" s="1"/>
  <c r="E289" i="20"/>
  <c r="F289" i="20" s="1"/>
  <c r="E105" i="13"/>
  <c r="F105" i="13" s="1"/>
  <c r="E366" i="13"/>
  <c r="F366" i="13" s="1"/>
  <c r="G452" i="13"/>
  <c r="G278" i="13"/>
  <c r="G48" i="41"/>
  <c r="E453" i="13"/>
  <c r="F453" i="13" s="1"/>
  <c r="E198" i="20"/>
  <c r="F198" i="20" s="1"/>
  <c r="E714" i="13"/>
  <c r="F714" i="13" s="1"/>
  <c r="D715" i="13" s="1"/>
  <c r="G46" i="35"/>
  <c r="A47" i="34"/>
  <c r="E1009" i="20"/>
  <c r="F1009" i="20" s="1"/>
  <c r="L43" i="41" l="1"/>
  <c r="E44" i="41" s="1"/>
  <c r="I43" i="41"/>
  <c r="L41" i="35"/>
  <c r="E42" i="35" s="1"/>
  <c r="I41" i="35"/>
  <c r="F627" i="13"/>
  <c r="D628" i="13" s="1"/>
  <c r="E628" i="13" s="1"/>
  <c r="F628" i="13" s="1"/>
  <c r="D629" i="13" s="1"/>
  <c r="D106" i="13"/>
  <c r="G105" i="13"/>
  <c r="D1010" i="20"/>
  <c r="D290" i="20"/>
  <c r="D454" i="13"/>
  <c r="G453" i="13"/>
  <c r="D367" i="13"/>
  <c r="G366" i="13"/>
  <c r="D831" i="20"/>
  <c r="E715" i="13"/>
  <c r="F715" i="13" s="1"/>
  <c r="D716" i="13" s="1"/>
  <c r="E469" i="20"/>
  <c r="F469" i="20" s="1"/>
  <c r="D470" i="20" s="1"/>
  <c r="E887" i="13"/>
  <c r="F887" i="13" s="1"/>
  <c r="E110" i="20"/>
  <c r="F110" i="20" s="1"/>
  <c r="D111" i="20" s="1"/>
  <c r="G47" i="35"/>
  <c r="E538" i="13"/>
  <c r="F538" i="13" s="1"/>
  <c r="D539" i="13" s="1"/>
  <c r="E919" i="20"/>
  <c r="F919" i="20" s="1"/>
  <c r="E649" i="20"/>
  <c r="F649" i="20" s="1"/>
  <c r="D650" i="20" s="1"/>
  <c r="E280" i="13"/>
  <c r="F280" i="13" s="1"/>
  <c r="G279" i="13"/>
  <c r="E193" i="13"/>
  <c r="F193" i="13" s="1"/>
  <c r="E801" i="13"/>
  <c r="F801" i="13" s="1"/>
  <c r="E739" i="20"/>
  <c r="F739" i="20" s="1"/>
  <c r="A48" i="34"/>
  <c r="A49" i="34" s="1"/>
  <c r="D199" i="20"/>
  <c r="G714" i="13"/>
  <c r="G49" i="41"/>
  <c r="B130" i="2"/>
  <c r="B131" i="2" s="1"/>
  <c r="E380" i="20"/>
  <c r="F380" i="20" s="1"/>
  <c r="E559" i="20"/>
  <c r="F559" i="20" s="1"/>
  <c r="E973" i="13"/>
  <c r="F973" i="13" s="1"/>
  <c r="G627" i="13" l="1"/>
  <c r="L44" i="41"/>
  <c r="E45" i="41" s="1"/>
  <c r="I44" i="41"/>
  <c r="I42" i="35"/>
  <c r="L42" i="35"/>
  <c r="E43" i="35" s="1"/>
  <c r="D802" i="13"/>
  <c r="G801" i="13"/>
  <c r="D974" i="13"/>
  <c r="E974" i="13" s="1"/>
  <c r="F974" i="13" s="1"/>
  <c r="D975" i="13" s="1"/>
  <c r="G973" i="13"/>
  <c r="D381" i="20"/>
  <c r="E381" i="20" s="1"/>
  <c r="F381" i="20" s="1"/>
  <c r="B49" i="34"/>
  <c r="G628" i="13"/>
  <c r="D740" i="20"/>
  <c r="D194" i="13"/>
  <c r="G193" i="13"/>
  <c r="D888" i="13"/>
  <c r="G887" i="13"/>
  <c r="D920" i="20"/>
  <c r="D560" i="20"/>
  <c r="D281" i="13"/>
  <c r="G280" i="13"/>
  <c r="E650" i="20"/>
  <c r="F650" i="20" s="1"/>
  <c r="A50" i="34"/>
  <c r="B52" i="34"/>
  <c r="B50" i="34"/>
  <c r="E716" i="13"/>
  <c r="F716" i="13" s="1"/>
  <c r="E290" i="20"/>
  <c r="F290" i="20" s="1"/>
  <c r="D291" i="20" s="1"/>
  <c r="E1010" i="20"/>
  <c r="F1010" i="20" s="1"/>
  <c r="E41" i="2"/>
  <c r="B132" i="2"/>
  <c r="B133" i="2" s="1"/>
  <c r="D296" i="2"/>
  <c r="E539" i="13"/>
  <c r="F539" i="13" s="1"/>
  <c r="D540" i="13" s="1"/>
  <c r="E629" i="13"/>
  <c r="F629" i="13" s="1"/>
  <c r="E831" i="20"/>
  <c r="F831" i="20" s="1"/>
  <c r="D832" i="20" s="1"/>
  <c r="E454" i="13"/>
  <c r="F454" i="13" s="1"/>
  <c r="D455" i="13" s="1"/>
  <c r="E111" i="20"/>
  <c r="F111" i="20" s="1"/>
  <c r="D112" i="20" s="1"/>
  <c r="E470" i="20"/>
  <c r="F470" i="20" s="1"/>
  <c r="D471" i="20" s="1"/>
  <c r="E367" i="13"/>
  <c r="F367" i="13" s="1"/>
  <c r="D368" i="13" s="1"/>
  <c r="G50" i="41"/>
  <c r="E199" i="20"/>
  <c r="F199" i="20" s="1"/>
  <c r="D200" i="20" s="1"/>
  <c r="G538" i="13"/>
  <c r="G48" i="35"/>
  <c r="G715" i="13"/>
  <c r="E106" i="13"/>
  <c r="F106" i="13" s="1"/>
  <c r="L45" i="41" l="1"/>
  <c r="E46" i="41" s="1"/>
  <c r="I45" i="41"/>
  <c r="L43" i="35"/>
  <c r="E44" i="35" s="1"/>
  <c r="I43" i="35"/>
  <c r="E802" i="13"/>
  <c r="F802" i="13" s="1"/>
  <c r="D803" i="13" s="1"/>
  <c r="E803" i="13" s="1"/>
  <c r="F803" i="13" s="1"/>
  <c r="E134" i="2"/>
  <c r="G539" i="13"/>
  <c r="G367" i="13"/>
  <c r="D717" i="13"/>
  <c r="G716" i="13"/>
  <c r="D107" i="13"/>
  <c r="G106" i="13"/>
  <c r="D630" i="13"/>
  <c r="G629" i="13"/>
  <c r="D382" i="20"/>
  <c r="D651" i="20"/>
  <c r="D1011" i="20"/>
  <c r="E471" i="20"/>
  <c r="F471" i="20" s="1"/>
  <c r="E112" i="20"/>
  <c r="F112" i="20" s="1"/>
  <c r="E455" i="13"/>
  <c r="F455" i="13" s="1"/>
  <c r="D456" i="13" s="1"/>
  <c r="E291" i="20"/>
  <c r="F291" i="20" s="1"/>
  <c r="D292" i="20" s="1"/>
  <c r="E975" i="13"/>
  <c r="F975" i="13" s="1"/>
  <c r="D976" i="13" s="1"/>
  <c r="E194" i="13"/>
  <c r="F194" i="13" s="1"/>
  <c r="A52" i="34"/>
  <c r="B53" i="34"/>
  <c r="G49" i="35"/>
  <c r="E200" i="20"/>
  <c r="F200" i="20" s="1"/>
  <c r="D201" i="20" s="1"/>
  <c r="E368" i="13"/>
  <c r="F368" i="13" s="1"/>
  <c r="G454" i="13"/>
  <c r="E832" i="20"/>
  <c r="F832" i="20" s="1"/>
  <c r="E540" i="13"/>
  <c r="F540" i="13" s="1"/>
  <c r="B134" i="2"/>
  <c r="D298" i="2"/>
  <c r="E281" i="13"/>
  <c r="F281" i="13" s="1"/>
  <c r="D282" i="13" s="1"/>
  <c r="E888" i="13"/>
  <c r="F888" i="13" s="1"/>
  <c r="G974" i="13"/>
  <c r="E560" i="20"/>
  <c r="F560" i="20" s="1"/>
  <c r="E920" i="20"/>
  <c r="F920" i="20" s="1"/>
  <c r="D921" i="20" s="1"/>
  <c r="E740" i="20"/>
  <c r="F740" i="20" s="1"/>
  <c r="L46" i="41" l="1"/>
  <c r="E47" i="41" s="1"/>
  <c r="I46" i="41"/>
  <c r="L44" i="35"/>
  <c r="E45" i="35" s="1"/>
  <c r="I44" i="35"/>
  <c r="G455" i="13"/>
  <c r="G281" i="13"/>
  <c r="G975" i="13"/>
  <c r="G802" i="13"/>
  <c r="D889" i="13"/>
  <c r="G888" i="13"/>
  <c r="D472" i="20"/>
  <c r="D541" i="13"/>
  <c r="G540" i="13"/>
  <c r="D833" i="20"/>
  <c r="D741" i="20"/>
  <c r="D804" i="13"/>
  <c r="G803" i="13"/>
  <c r="D195" i="13"/>
  <c r="G194" i="13"/>
  <c r="D561" i="20"/>
  <c r="D369" i="13"/>
  <c r="G368" i="13"/>
  <c r="D113" i="20"/>
  <c r="E921" i="20"/>
  <c r="F921" i="20" s="1"/>
  <c r="E292" i="20"/>
  <c r="F292" i="20" s="1"/>
  <c r="D293" i="20" s="1"/>
  <c r="E282" i="13"/>
  <c r="F282" i="13" s="1"/>
  <c r="D283" i="13" s="1"/>
  <c r="B136" i="2"/>
  <c r="D295" i="2"/>
  <c r="E100" i="2"/>
  <c r="E201" i="20"/>
  <c r="F201" i="20" s="1"/>
  <c r="B64" i="34"/>
  <c r="B57" i="34"/>
  <c r="A53" i="34"/>
  <c r="E976" i="13"/>
  <c r="F976" i="13" s="1"/>
  <c r="E456" i="13"/>
  <c r="F456" i="13" s="1"/>
  <c r="D457" i="13" s="1"/>
  <c r="E382" i="20"/>
  <c r="F382" i="20" s="1"/>
  <c r="D383" i="20" s="1"/>
  <c r="E107" i="13"/>
  <c r="F107" i="13" s="1"/>
  <c r="E651" i="20"/>
  <c r="F651" i="20" s="1"/>
  <c r="G50" i="35"/>
  <c r="E1011" i="20"/>
  <c r="F1011" i="20" s="1"/>
  <c r="D1012" i="20" s="1"/>
  <c r="E630" i="13"/>
  <c r="F630" i="13" s="1"/>
  <c r="E717" i="13"/>
  <c r="F717" i="13" s="1"/>
  <c r="I47" i="41" l="1"/>
  <c r="L47" i="41"/>
  <c r="E48" i="41" s="1"/>
  <c r="L45" i="35"/>
  <c r="E46" i="35" s="1"/>
  <c r="I45" i="35"/>
  <c r="D922" i="20"/>
  <c r="G282" i="13"/>
  <c r="D631" i="13"/>
  <c r="G630" i="13"/>
  <c r="D652" i="20"/>
  <c r="D202" i="20"/>
  <c r="D718" i="13"/>
  <c r="G717" i="13"/>
  <c r="D108" i="13"/>
  <c r="G107" i="13"/>
  <c r="D977" i="13"/>
  <c r="G976" i="13"/>
  <c r="E383" i="20"/>
  <c r="F383" i="20" s="1"/>
  <c r="D384" i="20" s="1"/>
  <c r="E293" i="20"/>
  <c r="F293" i="20" s="1"/>
  <c r="E369" i="13"/>
  <c r="F369" i="13" s="1"/>
  <c r="E561" i="20"/>
  <c r="F561" i="20" s="1"/>
  <c r="D562" i="20" s="1"/>
  <c r="E741" i="20"/>
  <c r="F741" i="20" s="1"/>
  <c r="E1012" i="20"/>
  <c r="F1012" i="20" s="1"/>
  <c r="G456" i="13"/>
  <c r="B137" i="2"/>
  <c r="E804" i="13"/>
  <c r="F804" i="13" s="1"/>
  <c r="E541" i="13"/>
  <c r="F541" i="13" s="1"/>
  <c r="E472" i="20"/>
  <c r="F472" i="20" s="1"/>
  <c r="D473" i="20" s="1"/>
  <c r="E457" i="13"/>
  <c r="F457" i="13" s="1"/>
  <c r="E113" i="20"/>
  <c r="F113" i="20" s="1"/>
  <c r="D114" i="20" s="1"/>
  <c r="B80" i="34"/>
  <c r="A56" i="34"/>
  <c r="B203" i="34"/>
  <c r="E283" i="13"/>
  <c r="F283" i="13" s="1"/>
  <c r="D284" i="13" s="1"/>
  <c r="E195" i="13"/>
  <c r="F195" i="13" s="1"/>
  <c r="E833" i="20"/>
  <c r="F833" i="20" s="1"/>
  <c r="D834" i="20" s="1"/>
  <c r="E889" i="13"/>
  <c r="F889" i="13" s="1"/>
  <c r="L48" i="41" l="1"/>
  <c r="E49" i="41" s="1"/>
  <c r="I48" i="41"/>
  <c r="L46" i="35"/>
  <c r="E47" i="35" s="1"/>
  <c r="I46" i="35"/>
  <c r="D458" i="13"/>
  <c r="E458" i="13" s="1"/>
  <c r="F458" i="13" s="1"/>
  <c r="D459" i="13" s="1"/>
  <c r="G457" i="13"/>
  <c r="D890" i="13"/>
  <c r="E890" i="13" s="1"/>
  <c r="F890" i="13" s="1"/>
  <c r="G889" i="13"/>
  <c r="E922" i="20"/>
  <c r="F922" i="20" s="1"/>
  <c r="D196" i="13"/>
  <c r="G195" i="13"/>
  <c r="D805" i="13"/>
  <c r="G804" i="13"/>
  <c r="D1013" i="20"/>
  <c r="D742" i="20"/>
  <c r="D542" i="13"/>
  <c r="G541" i="13"/>
  <c r="D370" i="13"/>
  <c r="G369" i="13"/>
  <c r="D294" i="20"/>
  <c r="E834" i="20"/>
  <c r="F834" i="20" s="1"/>
  <c r="E142" i="2"/>
  <c r="B138" i="2"/>
  <c r="B139" i="2" s="1"/>
  <c r="B140" i="2" s="1"/>
  <c r="B141" i="2" s="1"/>
  <c r="E562" i="20"/>
  <c r="F562" i="20" s="1"/>
  <c r="E384" i="20"/>
  <c r="F384" i="20" s="1"/>
  <c r="E977" i="13"/>
  <c r="F977" i="13" s="1"/>
  <c r="E652" i="20"/>
  <c r="F652" i="20" s="1"/>
  <c r="D653" i="20" s="1"/>
  <c r="E473" i="20"/>
  <c r="F473" i="20" s="1"/>
  <c r="E114" i="20"/>
  <c r="F114" i="20" s="1"/>
  <c r="E202" i="20"/>
  <c r="F202" i="20" s="1"/>
  <c r="E284" i="13"/>
  <c r="F284" i="13" s="1"/>
  <c r="D285" i="13" s="1"/>
  <c r="E108" i="13"/>
  <c r="F108" i="13" s="1"/>
  <c r="D109" i="13" s="1"/>
  <c r="E718" i="13"/>
  <c r="F718" i="13" s="1"/>
  <c r="D719" i="13" s="1"/>
  <c r="G283" i="13"/>
  <c r="A57" i="34"/>
  <c r="A58" i="34" s="1"/>
  <c r="E631" i="13"/>
  <c r="F631" i="13" s="1"/>
  <c r="D632" i="13" s="1"/>
  <c r="I49" i="41" l="1"/>
  <c r="L49" i="41"/>
  <c r="E50" i="41" s="1"/>
  <c r="L47" i="35"/>
  <c r="E48" i="35" s="1"/>
  <c r="I47" i="35"/>
  <c r="D923" i="20"/>
  <c r="E923" i="20" s="1"/>
  <c r="F923" i="20" s="1"/>
  <c r="D924" i="20" s="1"/>
  <c r="D891" i="13"/>
  <c r="E891" i="13" s="1"/>
  <c r="F891" i="13" s="1"/>
  <c r="G890" i="13"/>
  <c r="D474" i="20"/>
  <c r="D385" i="20"/>
  <c r="D835" i="20"/>
  <c r="D978" i="13"/>
  <c r="G977" i="13"/>
  <c r="D203" i="20"/>
  <c r="D115" i="20"/>
  <c r="D563" i="20"/>
  <c r="G631" i="13"/>
  <c r="E719" i="13"/>
  <c r="F719" i="13" s="1"/>
  <c r="E459" i="13"/>
  <c r="F459" i="13" s="1"/>
  <c r="E653" i="20"/>
  <c r="F653" i="20" s="1"/>
  <c r="D654" i="20" s="1"/>
  <c r="B142" i="2"/>
  <c r="B143" i="2" s="1"/>
  <c r="B144" i="2" s="1"/>
  <c r="B145" i="2" s="1"/>
  <c r="B146" i="2" s="1"/>
  <c r="B147" i="2" s="1"/>
  <c r="E109" i="13"/>
  <c r="F109" i="13" s="1"/>
  <c r="E285" i="13"/>
  <c r="F285" i="13" s="1"/>
  <c r="E742" i="20"/>
  <c r="F742" i="20" s="1"/>
  <c r="D743" i="20" s="1"/>
  <c r="A59" i="34"/>
  <c r="E141" i="2"/>
  <c r="G458" i="13"/>
  <c r="E294" i="20"/>
  <c r="F294" i="20" s="1"/>
  <c r="D295" i="20" s="1"/>
  <c r="E542" i="13"/>
  <c r="F542" i="13" s="1"/>
  <c r="D543" i="13" s="1"/>
  <c r="E805" i="13"/>
  <c r="F805" i="13" s="1"/>
  <c r="D806" i="13" s="1"/>
  <c r="E632" i="13"/>
  <c r="F632" i="13" s="1"/>
  <c r="G108" i="13"/>
  <c r="G718" i="13"/>
  <c r="G284" i="13"/>
  <c r="E370" i="13"/>
  <c r="F370" i="13" s="1"/>
  <c r="D371" i="13" s="1"/>
  <c r="E1013" i="20"/>
  <c r="F1013" i="20" s="1"/>
  <c r="E196" i="13"/>
  <c r="F196" i="13" s="1"/>
  <c r="D197" i="13" s="1"/>
  <c r="L50" i="41" l="1"/>
  <c r="I50" i="41"/>
  <c r="I51" i="41" s="1"/>
  <c r="E147" i="2"/>
  <c r="L48" i="35"/>
  <c r="E49" i="35" s="1"/>
  <c r="I48" i="35"/>
  <c r="D720" i="13"/>
  <c r="E720" i="13" s="1"/>
  <c r="F720" i="13" s="1"/>
  <c r="G719" i="13"/>
  <c r="G542" i="13"/>
  <c r="G805" i="13"/>
  <c r="D460" i="13"/>
  <c r="G459" i="13"/>
  <c r="D110" i="13"/>
  <c r="G109" i="13"/>
  <c r="D1014" i="20"/>
  <c r="D633" i="13"/>
  <c r="G632" i="13"/>
  <c r="D892" i="13"/>
  <c r="G891" i="13"/>
  <c r="D286" i="13"/>
  <c r="G285" i="13"/>
  <c r="E474" i="20"/>
  <c r="F474" i="20" s="1"/>
  <c r="E743" i="20"/>
  <c r="F743" i="20" s="1"/>
  <c r="E654" i="20"/>
  <c r="F654" i="20" s="1"/>
  <c r="D655" i="20" s="1"/>
  <c r="G370" i="13"/>
  <c r="E806" i="13"/>
  <c r="F806" i="13" s="1"/>
  <c r="B149" i="2"/>
  <c r="D299" i="2"/>
  <c r="E149" i="2"/>
  <c r="E203" i="20"/>
  <c r="F203" i="20" s="1"/>
  <c r="D204" i="20" s="1"/>
  <c r="E385" i="20"/>
  <c r="F385" i="20" s="1"/>
  <c r="E371" i="13"/>
  <c r="F371" i="13" s="1"/>
  <c r="E295" i="20"/>
  <c r="F295" i="20" s="1"/>
  <c r="D296" i="20" s="1"/>
  <c r="G196" i="13"/>
  <c r="E115" i="20"/>
  <c r="F115" i="20" s="1"/>
  <c r="E835" i="20"/>
  <c r="F835" i="20" s="1"/>
  <c r="D836" i="20" s="1"/>
  <c r="E197" i="13"/>
  <c r="F197" i="13" s="1"/>
  <c r="E543" i="13"/>
  <c r="F543" i="13" s="1"/>
  <c r="A60" i="34"/>
  <c r="E563" i="20"/>
  <c r="F563" i="20" s="1"/>
  <c r="E978" i="13"/>
  <c r="F978" i="13" s="1"/>
  <c r="D979" i="13" s="1"/>
  <c r="E924" i="20"/>
  <c r="F924" i="20" s="1"/>
  <c r="L49" i="35" l="1"/>
  <c r="E50" i="35" s="1"/>
  <c r="I49" i="35"/>
  <c r="D807" i="13"/>
  <c r="G806" i="13"/>
  <c r="D475" i="20"/>
  <c r="D198" i="13"/>
  <c r="G197" i="13"/>
  <c r="D925" i="20"/>
  <c r="D116" i="20"/>
  <c r="D721" i="13"/>
  <c r="G720" i="13"/>
  <c r="D372" i="13"/>
  <c r="G371" i="13"/>
  <c r="D386" i="20"/>
  <c r="D564" i="20"/>
  <c r="D544" i="13"/>
  <c r="G543" i="13"/>
  <c r="D744" i="20"/>
  <c r="E979" i="13"/>
  <c r="F979" i="13" s="1"/>
  <c r="E633" i="13"/>
  <c r="F633" i="13" s="1"/>
  <c r="B150" i="2"/>
  <c r="E151" i="2" s="1"/>
  <c r="E655" i="20"/>
  <c r="F655" i="20" s="1"/>
  <c r="E110" i="13"/>
  <c r="F110" i="13" s="1"/>
  <c r="E836" i="20"/>
  <c r="F836" i="20" s="1"/>
  <c r="E286" i="13"/>
  <c r="F286" i="13" s="1"/>
  <c r="B65" i="34"/>
  <c r="A63" i="34"/>
  <c r="E892" i="13"/>
  <c r="F892" i="13" s="1"/>
  <c r="D893" i="13" s="1"/>
  <c r="E296" i="20"/>
  <c r="F296" i="20" s="1"/>
  <c r="D297" i="20" s="1"/>
  <c r="E204" i="20"/>
  <c r="F204" i="20" s="1"/>
  <c r="G978" i="13"/>
  <c r="E1014" i="20"/>
  <c r="F1014" i="20" s="1"/>
  <c r="E460" i="13"/>
  <c r="F460" i="13" s="1"/>
  <c r="D461" i="13" s="1"/>
  <c r="L50" i="35" l="1"/>
  <c r="I50" i="35"/>
  <c r="I51" i="35" s="1"/>
  <c r="D1015" i="20"/>
  <c r="E1015" i="20" s="1"/>
  <c r="F1015" i="20" s="1"/>
  <c r="D634" i="13"/>
  <c r="E634" i="13" s="1"/>
  <c r="F634" i="13" s="1"/>
  <c r="G633" i="13"/>
  <c r="D837" i="20"/>
  <c r="D656" i="20"/>
  <c r="D205" i="20"/>
  <c r="D287" i="13"/>
  <c r="G286" i="13"/>
  <c r="D111" i="13"/>
  <c r="G110" i="13"/>
  <c r="D980" i="13"/>
  <c r="G979" i="13"/>
  <c r="E297" i="20"/>
  <c r="F297" i="20" s="1"/>
  <c r="E544" i="13"/>
  <c r="F544" i="13" s="1"/>
  <c r="E372" i="13"/>
  <c r="F372" i="13" s="1"/>
  <c r="D373" i="13" s="1"/>
  <c r="E461" i="13"/>
  <c r="F461" i="13" s="1"/>
  <c r="E893" i="13"/>
  <c r="F893" i="13" s="1"/>
  <c r="A64" i="34"/>
  <c r="E116" i="20"/>
  <c r="F116" i="20" s="1"/>
  <c r="E475" i="20"/>
  <c r="F475" i="20" s="1"/>
  <c r="G892" i="13"/>
  <c r="C48" i="20"/>
  <c r="D312" i="2"/>
  <c r="C48" i="13"/>
  <c r="E27" i="2"/>
  <c r="B151" i="2"/>
  <c r="D314" i="2"/>
  <c r="D309" i="2"/>
  <c r="E744" i="20"/>
  <c r="F744" i="20" s="1"/>
  <c r="D745" i="20" s="1"/>
  <c r="E386" i="20"/>
  <c r="F386" i="20" s="1"/>
  <c r="E721" i="13"/>
  <c r="F721" i="13" s="1"/>
  <c r="D722" i="13" s="1"/>
  <c r="E198" i="13"/>
  <c r="F198" i="13" s="1"/>
  <c r="E925" i="20"/>
  <c r="F925" i="20" s="1"/>
  <c r="G460" i="13"/>
  <c r="E564" i="20"/>
  <c r="F564" i="20" s="1"/>
  <c r="E807" i="13"/>
  <c r="F807" i="13" s="1"/>
  <c r="D545" i="13" l="1"/>
  <c r="E545" i="13" s="1"/>
  <c r="F545" i="13" s="1"/>
  <c r="D546" i="13" s="1"/>
  <c r="G544" i="13"/>
  <c r="D387" i="20"/>
  <c r="E387" i="20" s="1"/>
  <c r="F387" i="20" s="1"/>
  <c r="D388" i="20" s="1"/>
  <c r="G721" i="13"/>
  <c r="D926" i="20"/>
  <c r="D476" i="20"/>
  <c r="D565" i="20"/>
  <c r="D199" i="13"/>
  <c r="G198" i="13"/>
  <c r="D1016" i="20"/>
  <c r="D894" i="13"/>
  <c r="G893" i="13"/>
  <c r="D298" i="20"/>
  <c r="D462" i="13"/>
  <c r="G461" i="13"/>
  <c r="D808" i="13"/>
  <c r="G807" i="13"/>
  <c r="D117" i="20"/>
  <c r="D635" i="13"/>
  <c r="G634" i="13"/>
  <c r="E373" i="13"/>
  <c r="F373" i="13" s="1"/>
  <c r="E205" i="20"/>
  <c r="F205" i="20" s="1"/>
  <c r="A65" i="34"/>
  <c r="E722" i="13"/>
  <c r="F722" i="13" s="1"/>
  <c r="B153" i="2"/>
  <c r="B154" i="2" s="1"/>
  <c r="G372" i="13"/>
  <c r="E980" i="13"/>
  <c r="F980" i="13" s="1"/>
  <c r="E287" i="13"/>
  <c r="F287" i="13" s="1"/>
  <c r="D288" i="13" s="1"/>
  <c r="E745" i="20"/>
  <c r="F745" i="20" s="1"/>
  <c r="D746" i="20" s="1"/>
  <c r="E111" i="13"/>
  <c r="F111" i="13" s="1"/>
  <c r="E656" i="20"/>
  <c r="F656" i="20" s="1"/>
  <c r="E837" i="20"/>
  <c r="F837" i="20" s="1"/>
  <c r="D838" i="20" s="1"/>
  <c r="D112" i="13" l="1"/>
  <c r="E112" i="13" s="1"/>
  <c r="F112" i="13" s="1"/>
  <c r="G111" i="13"/>
  <c r="D723" i="13"/>
  <c r="G722" i="13"/>
  <c r="D206" i="20"/>
  <c r="D981" i="13"/>
  <c r="G980" i="13"/>
  <c r="D374" i="13"/>
  <c r="G373" i="13"/>
  <c r="D657" i="20"/>
  <c r="E288" i="13"/>
  <c r="F288" i="13" s="1"/>
  <c r="E462" i="13"/>
  <c r="F462" i="13" s="1"/>
  <c r="D463" i="13" s="1"/>
  <c r="E1016" i="20"/>
  <c r="F1016" i="20" s="1"/>
  <c r="D1017" i="20" s="1"/>
  <c r="E476" i="20"/>
  <c r="F476" i="20" s="1"/>
  <c r="D477" i="20" s="1"/>
  <c r="E838" i="20"/>
  <c r="F838" i="20" s="1"/>
  <c r="A66" i="34"/>
  <c r="E635" i="13"/>
  <c r="F635" i="13" s="1"/>
  <c r="E894" i="13"/>
  <c r="F894" i="13" s="1"/>
  <c r="E565" i="20"/>
  <c r="F565" i="20" s="1"/>
  <c r="D566" i="20" s="1"/>
  <c r="E746" i="20"/>
  <c r="F746" i="20" s="1"/>
  <c r="D747" i="20" s="1"/>
  <c r="E546" i="13"/>
  <c r="F546" i="13" s="1"/>
  <c r="E117" i="20"/>
  <c r="F117" i="20" s="1"/>
  <c r="B155" i="2"/>
  <c r="B156" i="2" s="1"/>
  <c r="B157" i="2" s="1"/>
  <c r="C76" i="13"/>
  <c r="C59" i="20"/>
  <c r="C76" i="20"/>
  <c r="C59" i="13"/>
  <c r="E31" i="2"/>
  <c r="E388" i="20"/>
  <c r="F388" i="20" s="1"/>
  <c r="D389" i="20" s="1"/>
  <c r="E808" i="13"/>
  <c r="F808" i="13" s="1"/>
  <c r="D809" i="13" s="1"/>
  <c r="E199" i="13"/>
  <c r="F199" i="13" s="1"/>
  <c r="D200" i="13" s="1"/>
  <c r="G287" i="13"/>
  <c r="G545" i="13"/>
  <c r="E298" i="20"/>
  <c r="F298" i="20" s="1"/>
  <c r="E926" i="20"/>
  <c r="F926" i="20" s="1"/>
  <c r="D839" i="20" l="1"/>
  <c r="E839" i="20" s="1"/>
  <c r="F839" i="20" s="1"/>
  <c r="D840" i="20" s="1"/>
  <c r="D927" i="20"/>
  <c r="E927" i="20" s="1"/>
  <c r="F927" i="20" s="1"/>
  <c r="G462" i="13"/>
  <c r="G808" i="13"/>
  <c r="D299" i="20"/>
  <c r="D636" i="13"/>
  <c r="G635" i="13"/>
  <c r="D113" i="13"/>
  <c r="G112" i="13"/>
  <c r="D289" i="13"/>
  <c r="G288" i="13"/>
  <c r="D118" i="20"/>
  <c r="D895" i="13"/>
  <c r="G894" i="13"/>
  <c r="D547" i="13"/>
  <c r="G546" i="13"/>
  <c r="E389" i="20"/>
  <c r="F389" i="20" s="1"/>
  <c r="E747" i="20"/>
  <c r="F747" i="20" s="1"/>
  <c r="E566" i="20"/>
  <c r="F566" i="20" s="1"/>
  <c r="E206" i="20"/>
  <c r="F206" i="20" s="1"/>
  <c r="D207" i="20" s="1"/>
  <c r="E200" i="13"/>
  <c r="F200" i="13" s="1"/>
  <c r="D201" i="13" s="1"/>
  <c r="B159" i="2"/>
  <c r="B160" i="2" s="1"/>
  <c r="B161" i="2" s="1"/>
  <c r="A68" i="34"/>
  <c r="B68" i="34"/>
  <c r="B69" i="34"/>
  <c r="E477" i="20"/>
  <c r="F477" i="20" s="1"/>
  <c r="E1017" i="20"/>
  <c r="F1017" i="20" s="1"/>
  <c r="E463" i="13"/>
  <c r="F463" i="13" s="1"/>
  <c r="E657" i="20"/>
  <c r="F657" i="20" s="1"/>
  <c r="D658" i="20" s="1"/>
  <c r="E981" i="13"/>
  <c r="F981" i="13" s="1"/>
  <c r="D982" i="13" s="1"/>
  <c r="E157" i="2"/>
  <c r="E374" i="13"/>
  <c r="F374" i="13" s="1"/>
  <c r="G199" i="13"/>
  <c r="E809" i="13"/>
  <c r="F809" i="13" s="1"/>
  <c r="B70" i="34"/>
  <c r="E723" i="13"/>
  <c r="F723" i="13" s="1"/>
  <c r="D724" i="13" s="1"/>
  <c r="D567" i="20" l="1"/>
  <c r="E567" i="20" s="1"/>
  <c r="F567" i="20" s="1"/>
  <c r="D748" i="20"/>
  <c r="E748" i="20" s="1"/>
  <c r="F748" i="20" s="1"/>
  <c r="D810" i="13"/>
  <c r="E810" i="13" s="1"/>
  <c r="F810" i="13" s="1"/>
  <c r="G809" i="13"/>
  <c r="D375" i="13"/>
  <c r="E375" i="13" s="1"/>
  <c r="F375" i="13" s="1"/>
  <c r="G374" i="13"/>
  <c r="D478" i="20"/>
  <c r="D464" i="13"/>
  <c r="G463" i="13"/>
  <c r="D1018" i="20"/>
  <c r="D928" i="20"/>
  <c r="D390" i="20"/>
  <c r="E658" i="20"/>
  <c r="F658" i="20" s="1"/>
  <c r="E201" i="13"/>
  <c r="F201" i="13" s="1"/>
  <c r="E547" i="13"/>
  <c r="F547" i="13" s="1"/>
  <c r="E982" i="13"/>
  <c r="F982" i="13" s="1"/>
  <c r="E840" i="20"/>
  <c r="F840" i="20" s="1"/>
  <c r="B162" i="2"/>
  <c r="B163" i="2" s="1"/>
  <c r="B164" i="2" s="1"/>
  <c r="B165" i="2" s="1"/>
  <c r="B166" i="2" s="1"/>
  <c r="E636" i="13"/>
  <c r="F636" i="13" s="1"/>
  <c r="G200" i="13"/>
  <c r="E207" i="20"/>
  <c r="F207" i="20" s="1"/>
  <c r="D208" i="20" s="1"/>
  <c r="E118" i="20"/>
  <c r="F118" i="20" s="1"/>
  <c r="D119" i="20" s="1"/>
  <c r="E113" i="13"/>
  <c r="F113" i="13" s="1"/>
  <c r="E724" i="13"/>
  <c r="F724" i="13" s="1"/>
  <c r="E289" i="13"/>
  <c r="F289" i="13" s="1"/>
  <c r="D290" i="13" s="1"/>
  <c r="G723" i="13"/>
  <c r="G981" i="13"/>
  <c r="A69" i="34"/>
  <c r="E895" i="13"/>
  <c r="F895" i="13" s="1"/>
  <c r="E299" i="20"/>
  <c r="F299" i="20" s="1"/>
  <c r="E166" i="2" l="1"/>
  <c r="D637" i="13"/>
  <c r="E637" i="13" s="1"/>
  <c r="F637" i="13" s="1"/>
  <c r="G636" i="13"/>
  <c r="D983" i="13"/>
  <c r="G982" i="13"/>
  <c r="D202" i="13"/>
  <c r="E202" i="13" s="1"/>
  <c r="F202" i="13" s="1"/>
  <c r="D203" i="13" s="1"/>
  <c r="G201" i="13"/>
  <c r="D376" i="13"/>
  <c r="E376" i="13" s="1"/>
  <c r="F376" i="13" s="1"/>
  <c r="D377" i="13" s="1"/>
  <c r="G375" i="13"/>
  <c r="D841" i="20"/>
  <c r="D659" i="20"/>
  <c r="D896" i="13"/>
  <c r="G895" i="13"/>
  <c r="D114" i="13"/>
  <c r="G113" i="13"/>
  <c r="D811" i="13"/>
  <c r="G810" i="13"/>
  <c r="D749" i="20"/>
  <c r="D548" i="13"/>
  <c r="G547" i="13"/>
  <c r="D300" i="20"/>
  <c r="D725" i="13"/>
  <c r="G724" i="13"/>
  <c r="D568" i="20"/>
  <c r="E208" i="20"/>
  <c r="F208" i="20" s="1"/>
  <c r="E290" i="13"/>
  <c r="F290" i="13" s="1"/>
  <c r="D291" i="13" s="1"/>
  <c r="E390" i="20"/>
  <c r="F390" i="20" s="1"/>
  <c r="E464" i="13"/>
  <c r="F464" i="13" s="1"/>
  <c r="D465" i="13" s="1"/>
  <c r="A70" i="34"/>
  <c r="G289" i="13"/>
  <c r="E119" i="20"/>
  <c r="F119" i="20" s="1"/>
  <c r="B168" i="2"/>
  <c r="B169" i="2" s="1"/>
  <c r="E1018" i="20"/>
  <c r="F1018" i="20" s="1"/>
  <c r="E928" i="20"/>
  <c r="F928" i="20" s="1"/>
  <c r="E478" i="20"/>
  <c r="F478" i="20" s="1"/>
  <c r="D479" i="20" s="1"/>
  <c r="E983" i="13" l="1"/>
  <c r="F983" i="13" s="1"/>
  <c r="D209" i="20"/>
  <c r="E209" i="20" s="1"/>
  <c r="F209" i="20" s="1"/>
  <c r="D638" i="13"/>
  <c r="E638" i="13" s="1"/>
  <c r="F638" i="13" s="1"/>
  <c r="G637" i="13"/>
  <c r="G376" i="13"/>
  <c r="G464" i="13"/>
  <c r="G290" i="13"/>
  <c r="D929" i="20"/>
  <c r="D120" i="20"/>
  <c r="D391" i="20"/>
  <c r="D1019" i="20"/>
  <c r="E568" i="20"/>
  <c r="F568" i="20" s="1"/>
  <c r="D569" i="20" s="1"/>
  <c r="E811" i="13"/>
  <c r="F811" i="13" s="1"/>
  <c r="D812" i="13" s="1"/>
  <c r="E896" i="13"/>
  <c r="F896" i="13" s="1"/>
  <c r="E203" i="13"/>
  <c r="F203" i="13" s="1"/>
  <c r="D204" i="13" s="1"/>
  <c r="E548" i="13"/>
  <c r="F548" i="13" s="1"/>
  <c r="D549" i="13" s="1"/>
  <c r="E659" i="20"/>
  <c r="F659" i="20" s="1"/>
  <c r="D660" i="20" s="1"/>
  <c r="D173" i="2"/>
  <c r="B170" i="2"/>
  <c r="E377" i="13"/>
  <c r="F377" i="13" s="1"/>
  <c r="D378" i="13" s="1"/>
  <c r="E465" i="13"/>
  <c r="F465" i="13" s="1"/>
  <c r="E291" i="13"/>
  <c r="F291" i="13" s="1"/>
  <c r="D292" i="13" s="1"/>
  <c r="E300" i="20"/>
  <c r="F300" i="20" s="1"/>
  <c r="D301" i="20" s="1"/>
  <c r="E479" i="20"/>
  <c r="F479" i="20" s="1"/>
  <c r="A72" i="34"/>
  <c r="A74" i="34" s="1"/>
  <c r="A75" i="34" s="1"/>
  <c r="A76" i="34" s="1"/>
  <c r="A79" i="34" s="1"/>
  <c r="G202" i="13"/>
  <c r="E725" i="13"/>
  <c r="F725" i="13" s="1"/>
  <c r="E749" i="20"/>
  <c r="F749" i="20" s="1"/>
  <c r="E114" i="13"/>
  <c r="F114" i="13" s="1"/>
  <c r="E841" i="20"/>
  <c r="F841" i="20" s="1"/>
  <c r="D984" i="13" l="1"/>
  <c r="E984" i="13" s="1"/>
  <c r="F984" i="13" s="1"/>
  <c r="D985" i="13" s="1"/>
  <c r="G983" i="13"/>
  <c r="G203" i="13"/>
  <c r="D842" i="20"/>
  <c r="E842" i="20" s="1"/>
  <c r="F842" i="20" s="1"/>
  <c r="D843" i="20" s="1"/>
  <c r="D897" i="13"/>
  <c r="E897" i="13" s="1"/>
  <c r="F897" i="13" s="1"/>
  <c r="D898" i="13" s="1"/>
  <c r="G896" i="13"/>
  <c r="G811" i="13"/>
  <c r="D115" i="13"/>
  <c r="G114" i="13"/>
  <c r="D466" i="13"/>
  <c r="G465" i="13"/>
  <c r="D750" i="20"/>
  <c r="D480" i="20"/>
  <c r="D639" i="13"/>
  <c r="G638" i="13"/>
  <c r="D726" i="13"/>
  <c r="G725" i="13"/>
  <c r="D210" i="20"/>
  <c r="E204" i="13"/>
  <c r="F204" i="13" s="1"/>
  <c r="E391" i="20"/>
  <c r="F391" i="20" s="1"/>
  <c r="E292" i="13"/>
  <c r="F292" i="13" s="1"/>
  <c r="D293" i="13" s="1"/>
  <c r="E660" i="20"/>
  <c r="F660" i="20" s="1"/>
  <c r="D661" i="20" s="1"/>
  <c r="E549" i="13"/>
  <c r="F549" i="13" s="1"/>
  <c r="D550" i="13" s="1"/>
  <c r="G377" i="13"/>
  <c r="E1019" i="20"/>
  <c r="F1019" i="20" s="1"/>
  <c r="D1020" i="20" s="1"/>
  <c r="E378" i="13"/>
  <c r="F378" i="13" s="1"/>
  <c r="D379" i="13" s="1"/>
  <c r="E569" i="20"/>
  <c r="F569" i="20" s="1"/>
  <c r="D570" i="20" s="1"/>
  <c r="E120" i="20"/>
  <c r="F120" i="20" s="1"/>
  <c r="D121" i="20" s="1"/>
  <c r="A80" i="34"/>
  <c r="B84" i="34"/>
  <c r="E301" i="20"/>
  <c r="F301" i="20" s="1"/>
  <c r="G291" i="13"/>
  <c r="B171" i="2"/>
  <c r="B172" i="2" s="1"/>
  <c r="B173" i="2" s="1"/>
  <c r="C35" i="20"/>
  <c r="C35" i="13"/>
  <c r="G548" i="13"/>
  <c r="E812" i="13"/>
  <c r="F812" i="13" s="1"/>
  <c r="E929" i="20"/>
  <c r="F929" i="20" s="1"/>
  <c r="G984" i="13" l="1"/>
  <c r="D392" i="20"/>
  <c r="E392" i="20" s="1"/>
  <c r="D205" i="13"/>
  <c r="G204" i="13"/>
  <c r="D930" i="20"/>
  <c r="D302" i="20"/>
  <c r="D813" i="13"/>
  <c r="G812" i="13"/>
  <c r="E570" i="20"/>
  <c r="F570" i="20" s="1"/>
  <c r="D571" i="20" s="1"/>
  <c r="B174" i="2"/>
  <c r="E178" i="2" s="1"/>
  <c r="A81" i="34"/>
  <c r="B85" i="34"/>
  <c r="G549" i="13"/>
  <c r="E661" i="20"/>
  <c r="F661" i="20" s="1"/>
  <c r="G897" i="13"/>
  <c r="E726" i="13"/>
  <c r="F726" i="13" s="1"/>
  <c r="E639" i="13"/>
  <c r="F639" i="13" s="1"/>
  <c r="D640" i="13" s="1"/>
  <c r="E466" i="13"/>
  <c r="F466" i="13" s="1"/>
  <c r="D467" i="13" s="1"/>
  <c r="E121" i="20"/>
  <c r="F121" i="20" s="1"/>
  <c r="E379" i="13"/>
  <c r="F379" i="13" s="1"/>
  <c r="E550" i="13"/>
  <c r="F550" i="13" s="1"/>
  <c r="D551" i="13" s="1"/>
  <c r="E293" i="13"/>
  <c r="F293" i="13" s="1"/>
  <c r="E898" i="13"/>
  <c r="F898" i="13" s="1"/>
  <c r="G378" i="13"/>
  <c r="E1020" i="20"/>
  <c r="F1020" i="20" s="1"/>
  <c r="D1021" i="20" s="1"/>
  <c r="E843" i="20"/>
  <c r="F843" i="20" s="1"/>
  <c r="D844" i="20" s="1"/>
  <c r="E480" i="20"/>
  <c r="F480" i="20" s="1"/>
  <c r="D481" i="20" s="1"/>
  <c r="G292" i="13"/>
  <c r="E210" i="20"/>
  <c r="F210" i="20" s="1"/>
  <c r="D211" i="20" s="1"/>
  <c r="E985" i="13"/>
  <c r="F985" i="13" s="1"/>
  <c r="E750" i="20"/>
  <c r="F750" i="20" s="1"/>
  <c r="E115" i="13"/>
  <c r="F115" i="13" s="1"/>
  <c r="D116" i="13" s="1"/>
  <c r="D662" i="20" l="1"/>
  <c r="E662" i="20" s="1"/>
  <c r="F662" i="20" s="1"/>
  <c r="D663" i="20" s="1"/>
  <c r="D986" i="13"/>
  <c r="E986" i="13" s="1"/>
  <c r="F986" i="13" s="1"/>
  <c r="G985" i="13"/>
  <c r="G639" i="13"/>
  <c r="F392" i="20"/>
  <c r="D727" i="13"/>
  <c r="E727" i="13" s="1"/>
  <c r="G726" i="13"/>
  <c r="D294" i="13"/>
  <c r="E294" i="13" s="1"/>
  <c r="F294" i="13" s="1"/>
  <c r="D295" i="13" s="1"/>
  <c r="G293" i="13"/>
  <c r="G466" i="13"/>
  <c r="D122" i="20"/>
  <c r="D751" i="20"/>
  <c r="D380" i="13"/>
  <c r="G379" i="13"/>
  <c r="D899" i="13"/>
  <c r="G898" i="13"/>
  <c r="E116" i="13"/>
  <c r="F116" i="13" s="1"/>
  <c r="E211" i="20"/>
  <c r="F211" i="20" s="1"/>
  <c r="D212" i="20" s="1"/>
  <c r="G550" i="13"/>
  <c r="E930" i="20"/>
  <c r="F930" i="20" s="1"/>
  <c r="D931" i="20" s="1"/>
  <c r="E844" i="20"/>
  <c r="F844" i="20" s="1"/>
  <c r="E551" i="13"/>
  <c r="F551" i="13" s="1"/>
  <c r="E571" i="20"/>
  <c r="F571" i="20" s="1"/>
  <c r="D572" i="20" s="1"/>
  <c r="G115" i="13"/>
  <c r="E481" i="20"/>
  <c r="F481" i="20" s="1"/>
  <c r="D482" i="20" s="1"/>
  <c r="E467" i="13"/>
  <c r="F467" i="13" s="1"/>
  <c r="D468" i="13" s="1"/>
  <c r="E640" i="13"/>
  <c r="F640" i="13" s="1"/>
  <c r="E302" i="20"/>
  <c r="F302" i="20" s="1"/>
  <c r="D303" i="20" s="1"/>
  <c r="E1021" i="20"/>
  <c r="F1021" i="20" s="1"/>
  <c r="D1022" i="20" s="1"/>
  <c r="A84" i="34"/>
  <c r="A85" i="34" s="1"/>
  <c r="A86" i="34" s="1"/>
  <c r="A87" i="34" s="1"/>
  <c r="A96" i="34" s="1"/>
  <c r="B86" i="34"/>
  <c r="D339" i="2"/>
  <c r="B175" i="2"/>
  <c r="E813" i="13"/>
  <c r="F813" i="13" s="1"/>
  <c r="E205" i="13"/>
  <c r="F205" i="13" s="1"/>
  <c r="D393" i="20" l="1"/>
  <c r="E393" i="20" s="1"/>
  <c r="F393" i="20" s="1"/>
  <c r="D394" i="20" s="1"/>
  <c r="E394" i="20" s="1"/>
  <c r="F727" i="13"/>
  <c r="D728" i="13" s="1"/>
  <c r="E728" i="13" s="1"/>
  <c r="D552" i="13"/>
  <c r="E552" i="13" s="1"/>
  <c r="F552" i="13" s="1"/>
  <c r="G551" i="13"/>
  <c r="D845" i="20"/>
  <c r="D814" i="13"/>
  <c r="G813" i="13"/>
  <c r="D987" i="13"/>
  <c r="G986" i="13"/>
  <c r="D206" i="13"/>
  <c r="G205" i="13"/>
  <c r="D641" i="13"/>
  <c r="G640" i="13"/>
  <c r="D117" i="13"/>
  <c r="G116" i="13"/>
  <c r="E1022" i="20"/>
  <c r="F1022" i="20" s="1"/>
  <c r="E468" i="13"/>
  <c r="F468" i="13" s="1"/>
  <c r="D469" i="13" s="1"/>
  <c r="E572" i="20"/>
  <c r="F572" i="20" s="1"/>
  <c r="D573" i="20" s="1"/>
  <c r="E212" i="20"/>
  <c r="F212" i="20" s="1"/>
  <c r="E295" i="13"/>
  <c r="F295" i="13" s="1"/>
  <c r="B183" i="34"/>
  <c r="A97" i="34"/>
  <c r="E303" i="20"/>
  <c r="F303" i="20" s="1"/>
  <c r="G467" i="13"/>
  <c r="E482" i="20"/>
  <c r="F482" i="20" s="1"/>
  <c r="E931" i="20"/>
  <c r="F931" i="20" s="1"/>
  <c r="E751" i="20"/>
  <c r="F751" i="20" s="1"/>
  <c r="E663" i="20"/>
  <c r="F663" i="20" s="1"/>
  <c r="E380" i="13"/>
  <c r="F380" i="13" s="1"/>
  <c r="D381" i="13" s="1"/>
  <c r="B176" i="2"/>
  <c r="E179" i="2"/>
  <c r="G294" i="13"/>
  <c r="E899" i="13"/>
  <c r="F899" i="13" s="1"/>
  <c r="E122" i="20"/>
  <c r="F122" i="20" s="1"/>
  <c r="F728" i="13" l="1"/>
  <c r="D729" i="13" s="1"/>
  <c r="E729" i="13" s="1"/>
  <c r="F729" i="13" s="1"/>
  <c r="G727" i="13"/>
  <c r="F394" i="20"/>
  <c r="D395" i="20" s="1"/>
  <c r="E395" i="20" s="1"/>
  <c r="F395" i="20" s="1"/>
  <c r="D396" i="20" s="1"/>
  <c r="D932" i="20"/>
  <c r="E932" i="20" s="1"/>
  <c r="F932" i="20" s="1"/>
  <c r="D296" i="13"/>
  <c r="E296" i="13" s="1"/>
  <c r="G295" i="13"/>
  <c r="D304" i="20"/>
  <c r="E304" i="20" s="1"/>
  <c r="F304" i="20" s="1"/>
  <c r="D1023" i="20"/>
  <c r="E1023" i="20" s="1"/>
  <c r="F1023" i="20" s="1"/>
  <c r="D553" i="13"/>
  <c r="G552" i="13"/>
  <c r="D123" i="20"/>
  <c r="D900" i="13"/>
  <c r="G899" i="13"/>
  <c r="D752" i="20"/>
  <c r="D664" i="20"/>
  <c r="D483" i="20"/>
  <c r="D213" i="20"/>
  <c r="A98" i="34"/>
  <c r="B184" i="34"/>
  <c r="E469" i="13"/>
  <c r="F469" i="13" s="1"/>
  <c r="E117" i="13"/>
  <c r="F117" i="13" s="1"/>
  <c r="E814" i="13"/>
  <c r="F814" i="13" s="1"/>
  <c r="E573" i="20"/>
  <c r="F573" i="20" s="1"/>
  <c r="E641" i="13"/>
  <c r="F641" i="13" s="1"/>
  <c r="D642" i="13" s="1"/>
  <c r="E987" i="13"/>
  <c r="F987" i="13" s="1"/>
  <c r="E381" i="13"/>
  <c r="F381" i="13" s="1"/>
  <c r="D382" i="13" s="1"/>
  <c r="E206" i="13"/>
  <c r="F206" i="13" s="1"/>
  <c r="G468" i="13"/>
  <c r="B177" i="2"/>
  <c r="E180" i="2"/>
  <c r="G380" i="13"/>
  <c r="E845" i="20"/>
  <c r="F845" i="20" s="1"/>
  <c r="G728" i="13" l="1"/>
  <c r="D207" i="13"/>
  <c r="E207" i="13" s="1"/>
  <c r="F207" i="13" s="1"/>
  <c r="G206" i="13"/>
  <c r="F296" i="13"/>
  <c r="D297" i="13" s="1"/>
  <c r="E297" i="13" s="1"/>
  <c r="F297" i="13" s="1"/>
  <c r="D298" i="13" s="1"/>
  <c r="D1024" i="20"/>
  <c r="E1024" i="20" s="1"/>
  <c r="F1024" i="20" s="1"/>
  <c r="D1025" i="20" s="1"/>
  <c r="D846" i="20"/>
  <c r="E846" i="20" s="1"/>
  <c r="D574" i="20"/>
  <c r="E574" i="20" s="1"/>
  <c r="F574" i="20" s="1"/>
  <c r="D730" i="13"/>
  <c r="G729" i="13"/>
  <c r="D933" i="20"/>
  <c r="D118" i="13"/>
  <c r="G117" i="13"/>
  <c r="D988" i="13"/>
  <c r="G987" i="13"/>
  <c r="D815" i="13"/>
  <c r="G814" i="13"/>
  <c r="D305" i="20"/>
  <c r="D470" i="13"/>
  <c r="G469" i="13"/>
  <c r="E382" i="13"/>
  <c r="F382" i="13" s="1"/>
  <c r="E664" i="20"/>
  <c r="F664" i="20" s="1"/>
  <c r="E483" i="20"/>
  <c r="F483" i="20" s="1"/>
  <c r="E900" i="13"/>
  <c r="F900" i="13" s="1"/>
  <c r="D901" i="13" s="1"/>
  <c r="B185" i="34"/>
  <c r="A99" i="34"/>
  <c r="E752" i="20"/>
  <c r="F752" i="20" s="1"/>
  <c r="D753" i="20" s="1"/>
  <c r="E642" i="13"/>
  <c r="F642" i="13" s="1"/>
  <c r="D643" i="13" s="1"/>
  <c r="E396" i="20"/>
  <c r="F396" i="20" s="1"/>
  <c r="D397" i="20" s="1"/>
  <c r="E123" i="20"/>
  <c r="F123" i="20" s="1"/>
  <c r="B178" i="2"/>
  <c r="B179" i="2" s="1"/>
  <c r="B180" i="2" s="1"/>
  <c r="B181" i="2" s="1"/>
  <c r="G381" i="13"/>
  <c r="G641" i="13"/>
  <c r="E213" i="20"/>
  <c r="F213" i="20" s="1"/>
  <c r="D214" i="20" s="1"/>
  <c r="E553" i="13"/>
  <c r="F553" i="13" s="1"/>
  <c r="E181" i="2" l="1"/>
  <c r="G296" i="13"/>
  <c r="D554" i="13"/>
  <c r="E554" i="13" s="1"/>
  <c r="F554" i="13" s="1"/>
  <c r="G553" i="13"/>
  <c r="F846" i="20"/>
  <c r="D847" i="20" s="1"/>
  <c r="E847" i="20" s="1"/>
  <c r="F847" i="20" s="1"/>
  <c r="D848" i="20" s="1"/>
  <c r="G297" i="13"/>
  <c r="D484" i="20"/>
  <c r="D124" i="20"/>
  <c r="D665" i="20"/>
  <c r="D383" i="13"/>
  <c r="G382" i="13"/>
  <c r="D208" i="13"/>
  <c r="G207" i="13"/>
  <c r="D575" i="20"/>
  <c r="E214" i="20"/>
  <c r="F214" i="20" s="1"/>
  <c r="E643" i="13"/>
  <c r="F643" i="13" s="1"/>
  <c r="D644" i="13" s="1"/>
  <c r="E988" i="13"/>
  <c r="F988" i="13" s="1"/>
  <c r="D989" i="13" s="1"/>
  <c r="E397" i="20"/>
  <c r="F397" i="20" s="1"/>
  <c r="D398" i="20" s="1"/>
  <c r="E298" i="13"/>
  <c r="F298" i="13" s="1"/>
  <c r="E470" i="13"/>
  <c r="F470" i="13" s="1"/>
  <c r="G900" i="13"/>
  <c r="E1025" i="20"/>
  <c r="F1025" i="20" s="1"/>
  <c r="D1026" i="20" s="1"/>
  <c r="E815" i="13"/>
  <c r="F815" i="13" s="1"/>
  <c r="E118" i="13"/>
  <c r="F118" i="13" s="1"/>
  <c r="D119" i="13" s="1"/>
  <c r="E305" i="20"/>
  <c r="F305" i="20" s="1"/>
  <c r="D306" i="20" s="1"/>
  <c r="B183" i="2"/>
  <c r="C50" i="20"/>
  <c r="C50" i="13"/>
  <c r="E753" i="20"/>
  <c r="F753" i="20" s="1"/>
  <c r="E901" i="13"/>
  <c r="F901" i="13" s="1"/>
  <c r="E933" i="20"/>
  <c r="F933" i="20" s="1"/>
  <c r="G642" i="13"/>
  <c r="B186" i="34"/>
  <c r="A100" i="34"/>
  <c r="A101" i="34" s="1"/>
  <c r="E730" i="13"/>
  <c r="F730" i="13" s="1"/>
  <c r="D731" i="13" s="1"/>
  <c r="D754" i="20" l="1"/>
  <c r="E754" i="20" s="1"/>
  <c r="F754" i="20" s="1"/>
  <c r="D555" i="13"/>
  <c r="E555" i="13" s="1"/>
  <c r="F555" i="13" s="1"/>
  <c r="G554" i="13"/>
  <c r="G730" i="13"/>
  <c r="D215" i="20"/>
  <c r="E215" i="20" s="1"/>
  <c r="F215" i="20" s="1"/>
  <c r="G118" i="13"/>
  <c r="G988" i="13"/>
  <c r="G643" i="13"/>
  <c r="D934" i="20"/>
  <c r="D471" i="13"/>
  <c r="G470" i="13"/>
  <c r="D816" i="13"/>
  <c r="G815" i="13"/>
  <c r="D299" i="13"/>
  <c r="G298" i="13"/>
  <c r="D902" i="13"/>
  <c r="G901" i="13"/>
  <c r="C49" i="13"/>
  <c r="B185" i="2"/>
  <c r="C49" i="20"/>
  <c r="E177" i="2"/>
  <c r="E848" i="20"/>
  <c r="F848" i="20" s="1"/>
  <c r="E1026" i="20"/>
  <c r="F1026" i="20" s="1"/>
  <c r="D1027" i="20" s="1"/>
  <c r="E398" i="20"/>
  <c r="F398" i="20" s="1"/>
  <c r="E731" i="13"/>
  <c r="F731" i="13" s="1"/>
  <c r="E119" i="13"/>
  <c r="F119" i="13" s="1"/>
  <c r="D120" i="13" s="1"/>
  <c r="E665" i="20"/>
  <c r="F665" i="20" s="1"/>
  <c r="E989" i="13"/>
  <c r="F989" i="13" s="1"/>
  <c r="D990" i="13" s="1"/>
  <c r="E644" i="13"/>
  <c r="F644" i="13" s="1"/>
  <c r="E575" i="20"/>
  <c r="F575" i="20" s="1"/>
  <c r="E383" i="13"/>
  <c r="F383" i="13" s="1"/>
  <c r="D384" i="13" s="1"/>
  <c r="E306" i="20"/>
  <c r="F306" i="20" s="1"/>
  <c r="D307" i="20" s="1"/>
  <c r="E208" i="13"/>
  <c r="F208" i="13" s="1"/>
  <c r="E124" i="20"/>
  <c r="F124" i="20" s="1"/>
  <c r="E34" i="2"/>
  <c r="A103" i="34"/>
  <c r="B150" i="34"/>
  <c r="E484" i="20"/>
  <c r="F484" i="20" s="1"/>
  <c r="D399" i="20" l="1"/>
  <c r="E399" i="20" s="1"/>
  <c r="F399" i="20" s="1"/>
  <c r="G989" i="13"/>
  <c r="G119" i="13"/>
  <c r="D209" i="13"/>
  <c r="G208" i="13"/>
  <c r="D849" i="20"/>
  <c r="D732" i="13"/>
  <c r="G731" i="13"/>
  <c r="D576" i="20"/>
  <c r="D755" i="20"/>
  <c r="D645" i="13"/>
  <c r="G644" i="13"/>
  <c r="D666" i="20"/>
  <c r="D556" i="13"/>
  <c r="G555" i="13"/>
  <c r="D485" i="20"/>
  <c r="D125" i="20"/>
  <c r="D216" i="20"/>
  <c r="E307" i="20"/>
  <c r="F307" i="20" s="1"/>
  <c r="E471" i="13"/>
  <c r="F471" i="13" s="1"/>
  <c r="G383" i="13"/>
  <c r="E120" i="13"/>
  <c r="F120" i="13" s="1"/>
  <c r="E1027" i="20"/>
  <c r="F1027" i="20" s="1"/>
  <c r="E990" i="13"/>
  <c r="F990" i="13" s="1"/>
  <c r="D991" i="13" s="1"/>
  <c r="E902" i="13"/>
  <c r="F902" i="13" s="1"/>
  <c r="E816" i="13"/>
  <c r="F816" i="13" s="1"/>
  <c r="D817" i="13" s="1"/>
  <c r="E384" i="13"/>
  <c r="F384" i="13" s="1"/>
  <c r="D385" i="13" s="1"/>
  <c r="E299" i="13"/>
  <c r="F299" i="13" s="1"/>
  <c r="B100" i="34"/>
  <c r="A106" i="34"/>
  <c r="A107" i="34" s="1"/>
  <c r="A108" i="34" s="1"/>
  <c r="A109" i="34" s="1"/>
  <c r="A110" i="34" s="1"/>
  <c r="A111" i="34" s="1"/>
  <c r="A112" i="34" s="1"/>
  <c r="B187" i="2"/>
  <c r="D303" i="2"/>
  <c r="E934" i="20"/>
  <c r="F934" i="20" s="1"/>
  <c r="G990" i="13" l="1"/>
  <c r="D903" i="13"/>
  <c r="E903" i="13" s="1"/>
  <c r="F903" i="13" s="1"/>
  <c r="D904" i="13" s="1"/>
  <c r="G902" i="13"/>
  <c r="D1028" i="20"/>
  <c r="E1028" i="20" s="1"/>
  <c r="F1028" i="20" s="1"/>
  <c r="D400" i="20"/>
  <c r="E400" i="20" s="1"/>
  <c r="F400" i="20" s="1"/>
  <c r="D472" i="13"/>
  <c r="E472" i="13" s="1"/>
  <c r="F472" i="13" s="1"/>
  <c r="G471" i="13"/>
  <c r="D308" i="20"/>
  <c r="E308" i="20" s="1"/>
  <c r="G384" i="13"/>
  <c r="D935" i="20"/>
  <c r="D300" i="13"/>
  <c r="G299" i="13"/>
  <c r="D121" i="13"/>
  <c r="G120" i="13"/>
  <c r="E817" i="13"/>
  <c r="F817" i="13" s="1"/>
  <c r="E991" i="13"/>
  <c r="F991" i="13" s="1"/>
  <c r="D992" i="13" s="1"/>
  <c r="E216" i="20"/>
  <c r="F216" i="20" s="1"/>
  <c r="E556" i="13"/>
  <c r="F556" i="13" s="1"/>
  <c r="E755" i="20"/>
  <c r="F755" i="20" s="1"/>
  <c r="E849" i="20"/>
  <c r="F849" i="20" s="1"/>
  <c r="E125" i="20"/>
  <c r="F125" i="20" s="1"/>
  <c r="B166" i="34"/>
  <c r="A115" i="34"/>
  <c r="E385" i="13"/>
  <c r="F385" i="13" s="1"/>
  <c r="E645" i="13"/>
  <c r="F645" i="13" s="1"/>
  <c r="E732" i="13"/>
  <c r="F732" i="13" s="1"/>
  <c r="D189" i="2"/>
  <c r="B189" i="2"/>
  <c r="B191" i="2" s="1"/>
  <c r="E666" i="20"/>
  <c r="F666" i="20" s="1"/>
  <c r="E576" i="20"/>
  <c r="F576" i="20" s="1"/>
  <c r="G816" i="13"/>
  <c r="E485" i="20"/>
  <c r="F485" i="20" s="1"/>
  <c r="E209" i="13"/>
  <c r="F209" i="13" s="1"/>
  <c r="D667" i="20" l="1"/>
  <c r="E667" i="20" s="1"/>
  <c r="F667" i="20" s="1"/>
  <c r="D577" i="20"/>
  <c r="E577" i="20" s="1"/>
  <c r="F577" i="20" s="1"/>
  <c r="F308" i="20"/>
  <c r="D309" i="20" s="1"/>
  <c r="E309" i="20" s="1"/>
  <c r="F309" i="20" s="1"/>
  <c r="D310" i="20" s="1"/>
  <c r="D192" i="2"/>
  <c r="D210" i="13"/>
  <c r="E210" i="13" s="1"/>
  <c r="G209" i="13"/>
  <c r="D557" i="13"/>
  <c r="E557" i="13" s="1"/>
  <c r="F557" i="13" s="1"/>
  <c r="G556" i="13"/>
  <c r="G991" i="13"/>
  <c r="D486" i="20"/>
  <c r="D473" i="13"/>
  <c r="G472" i="13"/>
  <c r="D850" i="20"/>
  <c r="D386" i="13"/>
  <c r="G385" i="13"/>
  <c r="D756" i="20"/>
  <c r="D733" i="13"/>
  <c r="G732" i="13"/>
  <c r="D401" i="20"/>
  <c r="D217" i="20"/>
  <c r="D126" i="20"/>
  <c r="D646" i="13"/>
  <c r="G645" i="13"/>
  <c r="D1029" i="20"/>
  <c r="D818" i="13"/>
  <c r="G817" i="13"/>
  <c r="E992" i="13"/>
  <c r="F992" i="13" s="1"/>
  <c r="D993" i="13" s="1"/>
  <c r="E121" i="13"/>
  <c r="F121" i="13" s="1"/>
  <c r="A116" i="34"/>
  <c r="E904" i="13"/>
  <c r="F904" i="13" s="1"/>
  <c r="B204" i="2"/>
  <c r="E13" i="2"/>
  <c r="G903" i="13"/>
  <c r="E300" i="13"/>
  <c r="F300" i="13" s="1"/>
  <c r="E935" i="20"/>
  <c r="F935" i="20" s="1"/>
  <c r="F210" i="13" l="1"/>
  <c r="D211" i="13" s="1"/>
  <c r="E211" i="13" s="1"/>
  <c r="F211" i="13" s="1"/>
  <c r="D668" i="20"/>
  <c r="E668" i="20" s="1"/>
  <c r="F668" i="20" s="1"/>
  <c r="G992" i="13"/>
  <c r="D936" i="20"/>
  <c r="D122" i="13"/>
  <c r="G121" i="13"/>
  <c r="D301" i="13"/>
  <c r="G300" i="13"/>
  <c r="D578" i="20"/>
  <c r="D558" i="13"/>
  <c r="G557" i="13"/>
  <c r="D905" i="13"/>
  <c r="G904" i="13"/>
  <c r="E310" i="20"/>
  <c r="F310" i="20" s="1"/>
  <c r="D311" i="20" s="1"/>
  <c r="E993" i="13"/>
  <c r="F993" i="13" s="1"/>
  <c r="D994" i="13" s="1"/>
  <c r="E1029" i="20"/>
  <c r="F1029" i="20" s="1"/>
  <c r="E217" i="20"/>
  <c r="F217" i="20" s="1"/>
  <c r="D218" i="20" s="1"/>
  <c r="E756" i="20"/>
  <c r="F756" i="20" s="1"/>
  <c r="E401" i="20"/>
  <c r="F401" i="20" s="1"/>
  <c r="A117" i="34"/>
  <c r="A118" i="34" s="1"/>
  <c r="E818" i="13"/>
  <c r="F818" i="13" s="1"/>
  <c r="E126" i="20"/>
  <c r="F126" i="20" s="1"/>
  <c r="E733" i="13"/>
  <c r="F733" i="13" s="1"/>
  <c r="E850" i="20"/>
  <c r="F850" i="20" s="1"/>
  <c r="D851" i="20" s="1"/>
  <c r="E473" i="13"/>
  <c r="F473" i="13" s="1"/>
  <c r="B205" i="2"/>
  <c r="B206" i="2" s="1"/>
  <c r="B207" i="2" s="1"/>
  <c r="E646" i="13"/>
  <c r="F646" i="13" s="1"/>
  <c r="D647" i="13" s="1"/>
  <c r="E386" i="13"/>
  <c r="F386" i="13" s="1"/>
  <c r="E486" i="20"/>
  <c r="F486" i="20" s="1"/>
  <c r="G210" i="13" l="1"/>
  <c r="D487" i="20"/>
  <c r="E487" i="20" s="1"/>
  <c r="F487" i="20" s="1"/>
  <c r="D488" i="20" s="1"/>
  <c r="D387" i="13"/>
  <c r="E387" i="13" s="1"/>
  <c r="F387" i="13" s="1"/>
  <c r="G386" i="13"/>
  <c r="D402" i="20"/>
  <c r="E402" i="20" s="1"/>
  <c r="F402" i="20" s="1"/>
  <c r="D669" i="20"/>
  <c r="D127" i="20"/>
  <c r="D757" i="20"/>
  <c r="D1030" i="20"/>
  <c r="D212" i="13"/>
  <c r="G211" i="13"/>
  <c r="D474" i="13"/>
  <c r="G473" i="13"/>
  <c r="D734" i="13"/>
  <c r="G733" i="13"/>
  <c r="D819" i="13"/>
  <c r="G818" i="13"/>
  <c r="E994" i="13"/>
  <c r="F994" i="13" s="1"/>
  <c r="D995" i="13" s="1"/>
  <c r="E122" i="13"/>
  <c r="F122" i="13" s="1"/>
  <c r="E207" i="2"/>
  <c r="E558" i="13"/>
  <c r="F558" i="13" s="1"/>
  <c r="D559" i="13" s="1"/>
  <c r="E647" i="13"/>
  <c r="F647" i="13" s="1"/>
  <c r="D648" i="13" s="1"/>
  <c r="A119" i="34"/>
  <c r="B119" i="34"/>
  <c r="E311" i="20"/>
  <c r="F311" i="20" s="1"/>
  <c r="D312" i="20" s="1"/>
  <c r="E578" i="20"/>
  <c r="F578" i="20" s="1"/>
  <c r="E851" i="20"/>
  <c r="F851" i="20" s="1"/>
  <c r="E218" i="20"/>
  <c r="F218" i="20" s="1"/>
  <c r="E301" i="13"/>
  <c r="F301" i="13" s="1"/>
  <c r="B209" i="2"/>
  <c r="B211" i="2" s="1"/>
  <c r="B212" i="2" s="1"/>
  <c r="B213" i="2" s="1"/>
  <c r="E209" i="2"/>
  <c r="E63" i="2"/>
  <c r="G646" i="13"/>
  <c r="B118" i="34"/>
  <c r="G993" i="13"/>
  <c r="E905" i="13"/>
  <c r="F905" i="13" s="1"/>
  <c r="E936" i="20"/>
  <c r="F936" i="20" s="1"/>
  <c r="D579" i="20" l="1"/>
  <c r="E579" i="20" s="1"/>
  <c r="F579" i="20" s="1"/>
  <c r="D580" i="20" s="1"/>
  <c r="D906" i="13"/>
  <c r="E906" i="13" s="1"/>
  <c r="F906" i="13" s="1"/>
  <c r="D907" i="13" s="1"/>
  <c r="G905" i="13"/>
  <c r="G647" i="13"/>
  <c r="D123" i="13"/>
  <c r="G122" i="13"/>
  <c r="D852" i="20"/>
  <c r="D937" i="20"/>
  <c r="D302" i="13"/>
  <c r="G301" i="13"/>
  <c r="D219" i="20"/>
  <c r="D388" i="13"/>
  <c r="G387" i="13"/>
  <c r="D403" i="20"/>
  <c r="E648" i="13"/>
  <c r="F648" i="13" s="1"/>
  <c r="E995" i="13"/>
  <c r="F995" i="13" s="1"/>
  <c r="E819" i="13"/>
  <c r="F819" i="13" s="1"/>
  <c r="E474" i="13"/>
  <c r="F474" i="13" s="1"/>
  <c r="E757" i="20"/>
  <c r="F757" i="20" s="1"/>
  <c r="E559" i="13"/>
  <c r="F559" i="13" s="1"/>
  <c r="E127" i="20"/>
  <c r="F127" i="20" s="1"/>
  <c r="E488" i="20"/>
  <c r="F488" i="20" s="1"/>
  <c r="E312" i="20"/>
  <c r="F312" i="20" s="1"/>
  <c r="A121" i="34"/>
  <c r="G558" i="13"/>
  <c r="G994" i="13"/>
  <c r="E1030" i="20"/>
  <c r="F1030" i="20" s="1"/>
  <c r="B214" i="2"/>
  <c r="B215" i="2" s="1"/>
  <c r="B216" i="2" s="1"/>
  <c r="B217" i="2" s="1"/>
  <c r="B219" i="2" s="1"/>
  <c r="B222" i="2" s="1"/>
  <c r="B223" i="2" s="1"/>
  <c r="B224" i="2" s="1"/>
  <c r="B225" i="2" s="1"/>
  <c r="B226" i="2" s="1"/>
  <c r="E734" i="13"/>
  <c r="F734" i="13" s="1"/>
  <c r="D735" i="13" s="1"/>
  <c r="E212" i="13"/>
  <c r="F212" i="13" s="1"/>
  <c r="E669" i="20"/>
  <c r="F669" i="20" s="1"/>
  <c r="D560" i="13" l="1"/>
  <c r="E560" i="13" s="1"/>
  <c r="F560" i="13" s="1"/>
  <c r="D561" i="13" s="1"/>
  <c r="G559" i="13"/>
  <c r="D475" i="13"/>
  <c r="E475" i="13" s="1"/>
  <c r="F475" i="13" s="1"/>
  <c r="G474" i="13"/>
  <c r="E217" i="2"/>
  <c r="D213" i="13"/>
  <c r="G212" i="13"/>
  <c r="D489" i="20"/>
  <c r="D649" i="13"/>
  <c r="G648" i="13"/>
  <c r="D1031" i="20"/>
  <c r="D313" i="20"/>
  <c r="D128" i="20"/>
  <c r="D758" i="20"/>
  <c r="D820" i="13"/>
  <c r="G819" i="13"/>
  <c r="D670" i="20"/>
  <c r="D996" i="13"/>
  <c r="G995" i="13"/>
  <c r="G734" i="13"/>
  <c r="B227" i="2"/>
  <c r="E219" i="20"/>
  <c r="F219" i="20" s="1"/>
  <c r="E852" i="20"/>
  <c r="F852" i="20" s="1"/>
  <c r="E735" i="13"/>
  <c r="F735" i="13" s="1"/>
  <c r="D736" i="13" s="1"/>
  <c r="E580" i="20"/>
  <c r="F580" i="20" s="1"/>
  <c r="E907" i="13"/>
  <c r="F907" i="13" s="1"/>
  <c r="D908" i="13" s="1"/>
  <c r="E403" i="20"/>
  <c r="F403" i="20" s="1"/>
  <c r="D404" i="20" s="1"/>
  <c r="E388" i="13"/>
  <c r="F388" i="13" s="1"/>
  <c r="D389" i="13" s="1"/>
  <c r="E937" i="20"/>
  <c r="F937" i="20" s="1"/>
  <c r="D938" i="20" s="1"/>
  <c r="A122" i="34"/>
  <c r="G906" i="13"/>
  <c r="E302" i="13"/>
  <c r="F302" i="13" s="1"/>
  <c r="E123" i="13"/>
  <c r="F123" i="13" s="1"/>
  <c r="D581" i="20" l="1"/>
  <c r="E581" i="20" s="1"/>
  <c r="F581" i="20" s="1"/>
  <c r="D853" i="20"/>
  <c r="E853" i="20" s="1"/>
  <c r="F853" i="20" s="1"/>
  <c r="D303" i="13"/>
  <c r="G302" i="13"/>
  <c r="D476" i="13"/>
  <c r="G475" i="13"/>
  <c r="D124" i="13"/>
  <c r="G123" i="13"/>
  <c r="D220" i="20"/>
  <c r="E404" i="20"/>
  <c r="F404" i="20" s="1"/>
  <c r="E736" i="13"/>
  <c r="F736" i="13" s="1"/>
  <c r="E938" i="20"/>
  <c r="F938" i="20" s="1"/>
  <c r="D939" i="20" s="1"/>
  <c r="E389" i="13"/>
  <c r="F389" i="13" s="1"/>
  <c r="D390" i="13" s="1"/>
  <c r="E908" i="13"/>
  <c r="F908" i="13" s="1"/>
  <c r="E313" i="20"/>
  <c r="F313" i="20" s="1"/>
  <c r="E489" i="20"/>
  <c r="F489" i="20" s="1"/>
  <c r="E561" i="13"/>
  <c r="F561" i="13" s="1"/>
  <c r="E820" i="13"/>
  <c r="F820" i="13" s="1"/>
  <c r="D821" i="13" s="1"/>
  <c r="A123" i="34"/>
  <c r="A124" i="34" s="1"/>
  <c r="G388" i="13"/>
  <c r="G735" i="13"/>
  <c r="D234" i="2"/>
  <c r="B228" i="2"/>
  <c r="E670" i="20"/>
  <c r="F670" i="20" s="1"/>
  <c r="E128" i="20"/>
  <c r="F128" i="20" s="1"/>
  <c r="E649" i="13"/>
  <c r="F649" i="13" s="1"/>
  <c r="E1031" i="20"/>
  <c r="F1031" i="20" s="1"/>
  <c r="G907" i="13"/>
  <c r="G560" i="13"/>
  <c r="E996" i="13"/>
  <c r="F996" i="13" s="1"/>
  <c r="E758" i="20"/>
  <c r="F758" i="20" s="1"/>
  <c r="E213" i="13"/>
  <c r="F213" i="13" s="1"/>
  <c r="G820" i="13" l="1"/>
  <c r="D997" i="13"/>
  <c r="E997" i="13" s="1"/>
  <c r="F997" i="13" s="1"/>
  <c r="D998" i="13" s="1"/>
  <c r="G996" i="13"/>
  <c r="D650" i="13"/>
  <c r="E650" i="13" s="1"/>
  <c r="F650" i="13" s="1"/>
  <c r="G649" i="13"/>
  <c r="D405" i="20"/>
  <c r="E405" i="20" s="1"/>
  <c r="D582" i="20"/>
  <c r="E582" i="20" s="1"/>
  <c r="F582" i="20" s="1"/>
  <c r="B124" i="34"/>
  <c r="D314" i="20"/>
  <c r="D1032" i="20"/>
  <c r="D129" i="20"/>
  <c r="D490" i="20"/>
  <c r="D562" i="13"/>
  <c r="G561" i="13"/>
  <c r="D759" i="20"/>
  <c r="D671" i="20"/>
  <c r="D854" i="20"/>
  <c r="D214" i="13"/>
  <c r="G213" i="13"/>
  <c r="D909" i="13"/>
  <c r="G908" i="13"/>
  <c r="D737" i="13"/>
  <c r="G736" i="13"/>
  <c r="E939" i="20"/>
  <c r="F939" i="20" s="1"/>
  <c r="B229" i="2"/>
  <c r="B230" i="2" s="1"/>
  <c r="E821" i="13"/>
  <c r="F821" i="13" s="1"/>
  <c r="D822" i="13" s="1"/>
  <c r="E390" i="13"/>
  <c r="F390" i="13" s="1"/>
  <c r="E220" i="20"/>
  <c r="F220" i="20" s="1"/>
  <c r="D221" i="20" s="1"/>
  <c r="E476" i="13"/>
  <c r="F476" i="13" s="1"/>
  <c r="D477" i="13" s="1"/>
  <c r="A125" i="34"/>
  <c r="B125" i="34"/>
  <c r="G389" i="13"/>
  <c r="E124" i="13"/>
  <c r="F124" i="13" s="1"/>
  <c r="E303" i="13"/>
  <c r="F303" i="13" s="1"/>
  <c r="F405" i="20" l="1"/>
  <c r="D406" i="20" s="1"/>
  <c r="E406" i="20" s="1"/>
  <c r="F406" i="20" s="1"/>
  <c r="D407" i="20" s="1"/>
  <c r="D940" i="20"/>
  <c r="E940" i="20" s="1"/>
  <c r="F940" i="20" s="1"/>
  <c r="D304" i="13"/>
  <c r="G303" i="13"/>
  <c r="D391" i="13"/>
  <c r="G390" i="13"/>
  <c r="D125" i="13"/>
  <c r="G124" i="13"/>
  <c r="D651" i="13"/>
  <c r="G650" i="13"/>
  <c r="D583" i="20"/>
  <c r="E1032" i="20"/>
  <c r="F1032" i="20" s="1"/>
  <c r="G821" i="13"/>
  <c r="G997" i="13"/>
  <c r="E759" i="20"/>
  <c r="F759" i="20" s="1"/>
  <c r="E129" i="20"/>
  <c r="F129" i="20" s="1"/>
  <c r="E477" i="13"/>
  <c r="F477" i="13" s="1"/>
  <c r="D235" i="2"/>
  <c r="B233" i="2"/>
  <c r="A127" i="34"/>
  <c r="E822" i="13"/>
  <c r="F822" i="13" s="1"/>
  <c r="D823" i="13" s="1"/>
  <c r="E998" i="13"/>
  <c r="F998" i="13" s="1"/>
  <c r="E909" i="13"/>
  <c r="F909" i="13" s="1"/>
  <c r="E671" i="20"/>
  <c r="F671" i="20" s="1"/>
  <c r="D672" i="20" s="1"/>
  <c r="E490" i="20"/>
  <c r="F490" i="20" s="1"/>
  <c r="E221" i="20"/>
  <c r="F221" i="20" s="1"/>
  <c r="E737" i="13"/>
  <c r="F737" i="13" s="1"/>
  <c r="E214" i="13"/>
  <c r="F214" i="13" s="1"/>
  <c r="G476" i="13"/>
  <c r="E230" i="2"/>
  <c r="E854" i="20"/>
  <c r="F854" i="20" s="1"/>
  <c r="D855" i="20" s="1"/>
  <c r="E562" i="13"/>
  <c r="F562" i="13" s="1"/>
  <c r="E314" i="20"/>
  <c r="F314" i="20" s="1"/>
  <c r="D491" i="20" l="1"/>
  <c r="E491" i="20" s="1"/>
  <c r="F491" i="20" s="1"/>
  <c r="D910" i="13"/>
  <c r="G909" i="13"/>
  <c r="D760" i="20"/>
  <c r="D315" i="20"/>
  <c r="D215" i="13"/>
  <c r="G214" i="13"/>
  <c r="D941" i="20"/>
  <c r="D999" i="13"/>
  <c r="G998" i="13"/>
  <c r="D478" i="13"/>
  <c r="G477" i="13"/>
  <c r="D1033" i="20"/>
  <c r="D563" i="13"/>
  <c r="G562" i="13"/>
  <c r="D738" i="13"/>
  <c r="G737" i="13"/>
  <c r="D222" i="20"/>
  <c r="D130" i="20"/>
  <c r="E855" i="20"/>
  <c r="F855" i="20" s="1"/>
  <c r="G822" i="13"/>
  <c r="E651" i="13"/>
  <c r="F651" i="13" s="1"/>
  <c r="D652" i="13" s="1"/>
  <c r="E391" i="13"/>
  <c r="F391" i="13" s="1"/>
  <c r="E823" i="13"/>
  <c r="F823" i="13" s="1"/>
  <c r="A128" i="34"/>
  <c r="E672" i="20"/>
  <c r="F672" i="20" s="1"/>
  <c r="D673" i="20" s="1"/>
  <c r="E407" i="20"/>
  <c r="F407" i="20" s="1"/>
  <c r="B234" i="2"/>
  <c r="B235" i="2" s="1"/>
  <c r="E583" i="20"/>
  <c r="F583" i="20" s="1"/>
  <c r="D584" i="20" s="1"/>
  <c r="E125" i="13"/>
  <c r="F125" i="13" s="1"/>
  <c r="E304" i="13"/>
  <c r="F304" i="13" s="1"/>
  <c r="D305" i="13" l="1"/>
  <c r="E305" i="13" s="1"/>
  <c r="F305" i="13" s="1"/>
  <c r="G304" i="13"/>
  <c r="D492" i="20"/>
  <c r="D824" i="13"/>
  <c r="G823" i="13"/>
  <c r="D392" i="13"/>
  <c r="G391" i="13"/>
  <c r="D126" i="13"/>
  <c r="G125" i="13"/>
  <c r="D408" i="20"/>
  <c r="D856" i="20"/>
  <c r="C16" i="13"/>
  <c r="B236" i="2"/>
  <c r="C16" i="20"/>
  <c r="E652" i="13"/>
  <c r="F652" i="13" s="1"/>
  <c r="D653" i="13" s="1"/>
  <c r="E130" i="20"/>
  <c r="F130" i="20" s="1"/>
  <c r="D236" i="2"/>
  <c r="E738" i="13"/>
  <c r="F738" i="13" s="1"/>
  <c r="D739" i="13" s="1"/>
  <c r="E941" i="20"/>
  <c r="F941" i="20" s="1"/>
  <c r="E760" i="20"/>
  <c r="F760" i="20" s="1"/>
  <c r="E584" i="20"/>
  <c r="F584" i="20" s="1"/>
  <c r="A129" i="34"/>
  <c r="A130" i="34" s="1"/>
  <c r="E1033" i="20"/>
  <c r="F1033" i="20" s="1"/>
  <c r="E999" i="13"/>
  <c r="F999" i="13" s="1"/>
  <c r="E315" i="20"/>
  <c r="F315" i="20" s="1"/>
  <c r="C19" i="13"/>
  <c r="E673" i="20"/>
  <c r="F673" i="20" s="1"/>
  <c r="E478" i="13"/>
  <c r="F478" i="13" s="1"/>
  <c r="C19" i="20"/>
  <c r="G651" i="13"/>
  <c r="E222" i="20"/>
  <c r="F222" i="20" s="1"/>
  <c r="E563" i="13"/>
  <c r="F563" i="13" s="1"/>
  <c r="E215" i="13"/>
  <c r="F215" i="13" s="1"/>
  <c r="D216" i="13" s="1"/>
  <c r="E910" i="13"/>
  <c r="F910" i="13" s="1"/>
  <c r="D911" i="13" l="1"/>
  <c r="E911" i="13" s="1"/>
  <c r="F911" i="13" s="1"/>
  <c r="D912" i="13" s="1"/>
  <c r="G910" i="13"/>
  <c r="G652" i="13"/>
  <c r="B130" i="34"/>
  <c r="D585" i="20"/>
  <c r="D479" i="13"/>
  <c r="G478" i="13"/>
  <c r="D1000" i="13"/>
  <c r="G999" i="13"/>
  <c r="D761" i="20"/>
  <c r="D306" i="13"/>
  <c r="G305" i="13"/>
  <c r="D316" i="20"/>
  <c r="D1034" i="20"/>
  <c r="D942" i="20"/>
  <c r="D131" i="20"/>
  <c r="D564" i="13"/>
  <c r="G563" i="13"/>
  <c r="D674" i="20"/>
  <c r="D223" i="20"/>
  <c r="E739" i="13"/>
  <c r="F739" i="13" s="1"/>
  <c r="E126" i="13"/>
  <c r="F126" i="13" s="1"/>
  <c r="E824" i="13"/>
  <c r="F824" i="13" s="1"/>
  <c r="A131" i="34"/>
  <c r="B131" i="34"/>
  <c r="E653" i="13"/>
  <c r="F653" i="13" s="1"/>
  <c r="D654" i="13" s="1"/>
  <c r="B240" i="2"/>
  <c r="B241" i="2" s="1"/>
  <c r="B242" i="2" s="1"/>
  <c r="B243" i="2" s="1"/>
  <c r="B244" i="2" s="1"/>
  <c r="B238" i="2"/>
  <c r="E183" i="2"/>
  <c r="D171" i="2"/>
  <c r="E408" i="20"/>
  <c r="F408" i="20" s="1"/>
  <c r="D409" i="20" s="1"/>
  <c r="E392" i="13"/>
  <c r="F392" i="13" s="1"/>
  <c r="E216" i="13"/>
  <c r="F216" i="13" s="1"/>
  <c r="D217" i="13" s="1"/>
  <c r="G215" i="13"/>
  <c r="G738" i="13"/>
  <c r="E856" i="20"/>
  <c r="F856" i="20" s="1"/>
  <c r="E492" i="20"/>
  <c r="F492" i="20" s="1"/>
  <c r="D825" i="13" l="1"/>
  <c r="E825" i="13" s="1"/>
  <c r="F825" i="13" s="1"/>
  <c r="G824" i="13"/>
  <c r="D393" i="13"/>
  <c r="G392" i="13"/>
  <c r="D857" i="20"/>
  <c r="D740" i="13"/>
  <c r="G739" i="13"/>
  <c r="D493" i="20"/>
  <c r="D127" i="13"/>
  <c r="G126" i="13"/>
  <c r="E217" i="13"/>
  <c r="F217" i="13" s="1"/>
  <c r="E409" i="20"/>
  <c r="F409" i="20" s="1"/>
  <c r="D410" i="20" s="1"/>
  <c r="E654" i="13"/>
  <c r="F654" i="13" s="1"/>
  <c r="E674" i="20"/>
  <c r="F674" i="20" s="1"/>
  <c r="E942" i="20"/>
  <c r="F942" i="20" s="1"/>
  <c r="E306" i="13"/>
  <c r="F306" i="13" s="1"/>
  <c r="E912" i="13"/>
  <c r="F912" i="13" s="1"/>
  <c r="E761" i="20"/>
  <c r="F761" i="20" s="1"/>
  <c r="G653" i="13"/>
  <c r="E223" i="20"/>
  <c r="F223" i="20" s="1"/>
  <c r="D224" i="20" s="1"/>
  <c r="E131" i="20"/>
  <c r="F131" i="20" s="1"/>
  <c r="E1000" i="13"/>
  <c r="F1000" i="13" s="1"/>
  <c r="B245" i="2"/>
  <c r="B246" i="2" s="1"/>
  <c r="B247" i="2" s="1"/>
  <c r="B248" i="2" s="1"/>
  <c r="B250" i="2" s="1"/>
  <c r="B251" i="2" s="1"/>
  <c r="B252" i="2" s="1"/>
  <c r="B253" i="2" s="1"/>
  <c r="B254" i="2" s="1"/>
  <c r="E1034" i="20"/>
  <c r="F1034" i="20" s="1"/>
  <c r="E479" i="13"/>
  <c r="F479" i="13" s="1"/>
  <c r="D480" i="13" s="1"/>
  <c r="G911" i="13"/>
  <c r="G216" i="13"/>
  <c r="A133" i="34"/>
  <c r="E564" i="13"/>
  <c r="F564" i="13" s="1"/>
  <c r="E316" i="20"/>
  <c r="F316" i="20" s="1"/>
  <c r="D317" i="20" s="1"/>
  <c r="E585" i="20"/>
  <c r="F585" i="20" s="1"/>
  <c r="D655" i="13" l="1"/>
  <c r="G654" i="13"/>
  <c r="D826" i="13"/>
  <c r="E826" i="13" s="1"/>
  <c r="F826" i="13" s="1"/>
  <c r="G825" i="13"/>
  <c r="D1001" i="13"/>
  <c r="E1001" i="13" s="1"/>
  <c r="F1001" i="13" s="1"/>
  <c r="G1000" i="13"/>
  <c r="D762" i="20"/>
  <c r="E762" i="20" s="1"/>
  <c r="E248" i="2"/>
  <c r="D307" i="13"/>
  <c r="G306" i="13"/>
  <c r="D913" i="13"/>
  <c r="G912" i="13"/>
  <c r="D943" i="20"/>
  <c r="D586" i="20"/>
  <c r="D565" i="13"/>
  <c r="G564" i="13"/>
  <c r="D1035" i="20"/>
  <c r="D675" i="20"/>
  <c r="D132" i="20"/>
  <c r="D218" i="13"/>
  <c r="G217" i="13"/>
  <c r="A134" i="34"/>
  <c r="E480" i="13"/>
  <c r="F480" i="13" s="1"/>
  <c r="E224" i="20"/>
  <c r="F224" i="20" s="1"/>
  <c r="D225" i="20" s="1"/>
  <c r="E410" i="20"/>
  <c r="F410" i="20" s="1"/>
  <c r="E493" i="20"/>
  <c r="F493" i="20" s="1"/>
  <c r="D494" i="20" s="1"/>
  <c r="E127" i="13"/>
  <c r="F127" i="13" s="1"/>
  <c r="D128" i="13" s="1"/>
  <c r="E857" i="20"/>
  <c r="F857" i="20" s="1"/>
  <c r="G479" i="13"/>
  <c r="E740" i="13"/>
  <c r="F740" i="13" s="1"/>
  <c r="E317" i="20"/>
  <c r="F317" i="20" s="1"/>
  <c r="D318" i="20" s="1"/>
  <c r="E393" i="13"/>
  <c r="F393" i="13" s="1"/>
  <c r="F762" i="20" l="1"/>
  <c r="D763" i="20" s="1"/>
  <c r="E763" i="20" s="1"/>
  <c r="F763" i="20" s="1"/>
  <c r="E655" i="13"/>
  <c r="F655" i="13" s="1"/>
  <c r="D741" i="13"/>
  <c r="G740" i="13"/>
  <c r="D1002" i="13"/>
  <c r="G1001" i="13"/>
  <c r="D411" i="20"/>
  <c r="D858" i="20"/>
  <c r="D827" i="13"/>
  <c r="G826" i="13"/>
  <c r="D394" i="13"/>
  <c r="G393" i="13"/>
  <c r="D481" i="13"/>
  <c r="G480" i="13"/>
  <c r="E494" i="20"/>
  <c r="F494" i="20" s="1"/>
  <c r="D495" i="20" s="1"/>
  <c r="A135" i="34"/>
  <c r="A136" i="34" s="1"/>
  <c r="E675" i="20"/>
  <c r="F675" i="20" s="1"/>
  <c r="E586" i="20"/>
  <c r="F586" i="20" s="1"/>
  <c r="G127" i="13"/>
  <c r="E132" i="20"/>
  <c r="F132" i="20" s="1"/>
  <c r="E565" i="13"/>
  <c r="F565" i="13" s="1"/>
  <c r="E913" i="13"/>
  <c r="F913" i="13" s="1"/>
  <c r="E318" i="20"/>
  <c r="F318" i="20" s="1"/>
  <c r="E128" i="13"/>
  <c r="F128" i="13" s="1"/>
  <c r="D129" i="13" s="1"/>
  <c r="E225" i="20"/>
  <c r="F225" i="20" s="1"/>
  <c r="D226" i="20" s="1"/>
  <c r="E218" i="13"/>
  <c r="F218" i="13" s="1"/>
  <c r="D219" i="13" s="1"/>
  <c r="E1035" i="20"/>
  <c r="F1035" i="20" s="1"/>
  <c r="E943" i="20"/>
  <c r="F943" i="20" s="1"/>
  <c r="E307" i="13"/>
  <c r="F307" i="13" s="1"/>
  <c r="D566" i="13" l="1"/>
  <c r="E566" i="13" s="1"/>
  <c r="F566" i="13" s="1"/>
  <c r="D567" i="13" s="1"/>
  <c r="G565" i="13"/>
  <c r="D319" i="20"/>
  <c r="E319" i="20" s="1"/>
  <c r="F319" i="20" s="1"/>
  <c r="D320" i="20" s="1"/>
  <c r="D656" i="13"/>
  <c r="G655" i="13"/>
  <c r="B136" i="34"/>
  <c r="G128" i="13"/>
  <c r="D1036" i="20"/>
  <c r="D764" i="20"/>
  <c r="D676" i="20"/>
  <c r="D308" i="13"/>
  <c r="G307" i="13"/>
  <c r="D914" i="13"/>
  <c r="G913" i="13"/>
  <c r="D133" i="20"/>
  <c r="D587" i="20"/>
  <c r="D944" i="20"/>
  <c r="E226" i="20"/>
  <c r="F226" i="20" s="1"/>
  <c r="D227" i="20" s="1"/>
  <c r="E495" i="20"/>
  <c r="F495" i="20" s="1"/>
  <c r="E481" i="13"/>
  <c r="F481" i="13" s="1"/>
  <c r="E827" i="13"/>
  <c r="F827" i="13" s="1"/>
  <c r="D828" i="13" s="1"/>
  <c r="E1002" i="13"/>
  <c r="F1002" i="13" s="1"/>
  <c r="E219" i="13"/>
  <c r="F219" i="13" s="1"/>
  <c r="D220" i="13" s="1"/>
  <c r="E129" i="13"/>
  <c r="F129" i="13" s="1"/>
  <c r="E858" i="20"/>
  <c r="F858" i="20" s="1"/>
  <c r="G218" i="13"/>
  <c r="A137" i="34"/>
  <c r="B139" i="34"/>
  <c r="B137" i="34"/>
  <c r="E394" i="13"/>
  <c r="F394" i="13" s="1"/>
  <c r="D395" i="13" s="1"/>
  <c r="E411" i="20"/>
  <c r="F411" i="20" s="1"/>
  <c r="E741" i="13"/>
  <c r="F741" i="13" s="1"/>
  <c r="D482" i="13" l="1"/>
  <c r="E482" i="13" s="1"/>
  <c r="F482" i="13" s="1"/>
  <c r="D483" i="13" s="1"/>
  <c r="G481" i="13"/>
  <c r="E656" i="13"/>
  <c r="F656" i="13" s="1"/>
  <c r="G566" i="13"/>
  <c r="D130" i="13"/>
  <c r="G129" i="13"/>
  <c r="D742" i="13"/>
  <c r="G741" i="13"/>
  <c r="D412" i="20"/>
  <c r="D1003" i="13"/>
  <c r="G1002" i="13"/>
  <c r="D859" i="20"/>
  <c r="D496" i="20"/>
  <c r="E764" i="20"/>
  <c r="F764" i="20" s="1"/>
  <c r="A139" i="34"/>
  <c r="B140" i="34"/>
  <c r="E567" i="13"/>
  <c r="F567" i="13" s="1"/>
  <c r="E676" i="20"/>
  <c r="F676" i="20" s="1"/>
  <c r="D677" i="20" s="1"/>
  <c r="E220" i="13"/>
  <c r="F220" i="13" s="1"/>
  <c r="E227" i="20"/>
  <c r="F227" i="20" s="1"/>
  <c r="E914" i="13"/>
  <c r="F914" i="13" s="1"/>
  <c r="D915" i="13" s="1"/>
  <c r="E320" i="20"/>
  <c r="F320" i="20" s="1"/>
  <c r="G219" i="13"/>
  <c r="G827" i="13"/>
  <c r="E133" i="20"/>
  <c r="F133" i="20" s="1"/>
  <c r="E308" i="13"/>
  <c r="F308" i="13" s="1"/>
  <c r="D309" i="13" s="1"/>
  <c r="E395" i="13"/>
  <c r="F395" i="13" s="1"/>
  <c r="E828" i="13"/>
  <c r="F828" i="13" s="1"/>
  <c r="D829" i="13" s="1"/>
  <c r="E944" i="20"/>
  <c r="F944" i="20" s="1"/>
  <c r="D945" i="20" s="1"/>
  <c r="G394" i="13"/>
  <c r="E587" i="20"/>
  <c r="F587" i="20" s="1"/>
  <c r="E1036" i="20"/>
  <c r="F1036" i="20" s="1"/>
  <c r="D221" i="13" l="1"/>
  <c r="E221" i="13" s="1"/>
  <c r="F221" i="13" s="1"/>
  <c r="G220" i="13"/>
  <c r="D228" i="20"/>
  <c r="E228" i="20" s="1"/>
  <c r="F228" i="20" s="1"/>
  <c r="D657" i="13"/>
  <c r="G656" i="13"/>
  <c r="D396" i="13"/>
  <c r="E396" i="13" s="1"/>
  <c r="F396" i="13" s="1"/>
  <c r="G395" i="13"/>
  <c r="D1037" i="20"/>
  <c r="D588" i="20"/>
  <c r="D134" i="20"/>
  <c r="D321" i="20"/>
  <c r="D568" i="13"/>
  <c r="G567" i="13"/>
  <c r="D765" i="20"/>
  <c r="E829" i="13"/>
  <c r="F829" i="13" s="1"/>
  <c r="E309" i="13"/>
  <c r="F309" i="13" s="1"/>
  <c r="E677" i="20"/>
  <c r="F677" i="20" s="1"/>
  <c r="G828" i="13"/>
  <c r="E859" i="20"/>
  <c r="F859" i="20" s="1"/>
  <c r="E915" i="13"/>
  <c r="F915" i="13" s="1"/>
  <c r="D916" i="13" s="1"/>
  <c r="E1003" i="13"/>
  <c r="F1003" i="13" s="1"/>
  <c r="D1004" i="13" s="1"/>
  <c r="E483" i="13"/>
  <c r="F483" i="13" s="1"/>
  <c r="E742" i="13"/>
  <c r="F742" i="13" s="1"/>
  <c r="E945" i="20"/>
  <c r="F945" i="20" s="1"/>
  <c r="G482" i="13"/>
  <c r="G914" i="13"/>
  <c r="G308" i="13"/>
  <c r="A140" i="34"/>
  <c r="B151" i="34"/>
  <c r="B144" i="34"/>
  <c r="B202" i="34"/>
  <c r="E496" i="20"/>
  <c r="F496" i="20" s="1"/>
  <c r="E412" i="20"/>
  <c r="F412" i="20" s="1"/>
  <c r="D413" i="20" s="1"/>
  <c r="E130" i="13"/>
  <c r="F130" i="13" s="1"/>
  <c r="D860" i="20" l="1"/>
  <c r="E860" i="20" s="1"/>
  <c r="F860" i="20" s="1"/>
  <c r="D678" i="20"/>
  <c r="E678" i="20" s="1"/>
  <c r="F678" i="20" s="1"/>
  <c r="D946" i="20"/>
  <c r="E946" i="20" s="1"/>
  <c r="F946" i="20" s="1"/>
  <c r="D947" i="20" s="1"/>
  <c r="E657" i="13"/>
  <c r="F657" i="13" s="1"/>
  <c r="G1003" i="13"/>
  <c r="D484" i="13"/>
  <c r="G483" i="13"/>
  <c r="D497" i="20"/>
  <c r="D743" i="13"/>
  <c r="G742" i="13"/>
  <c r="D397" i="13"/>
  <c r="G396" i="13"/>
  <c r="D310" i="13"/>
  <c r="G309" i="13"/>
  <c r="D222" i="13"/>
  <c r="G221" i="13"/>
  <c r="D830" i="13"/>
  <c r="G829" i="13"/>
  <c r="D131" i="13"/>
  <c r="G130" i="13"/>
  <c r="D229" i="20"/>
  <c r="E916" i="13"/>
  <c r="F916" i="13" s="1"/>
  <c r="D917" i="13" s="1"/>
  <c r="E588" i="20"/>
  <c r="F588" i="20" s="1"/>
  <c r="E765" i="20"/>
  <c r="F765" i="20" s="1"/>
  <c r="E134" i="20"/>
  <c r="F134" i="20" s="1"/>
  <c r="B167" i="34"/>
  <c r="A143" i="34"/>
  <c r="E1004" i="13"/>
  <c r="F1004" i="13" s="1"/>
  <c r="D1005" i="13" s="1"/>
  <c r="E321" i="20"/>
  <c r="F321" i="20" s="1"/>
  <c r="D322" i="20" s="1"/>
  <c r="E413" i="20"/>
  <c r="F413" i="20" s="1"/>
  <c r="D414" i="20" s="1"/>
  <c r="G915" i="13"/>
  <c r="E568" i="13"/>
  <c r="F568" i="13" s="1"/>
  <c r="E1037" i="20"/>
  <c r="F1037" i="20" s="1"/>
  <c r="D1038" i="20" l="1"/>
  <c r="E1038" i="20" s="1"/>
  <c r="F1038" i="20" s="1"/>
  <c r="D658" i="13"/>
  <c r="G657" i="13"/>
  <c r="D135" i="20"/>
  <c r="D589" i="20"/>
  <c r="D861" i="20"/>
  <c r="D766" i="20"/>
  <c r="D569" i="13"/>
  <c r="G568" i="13"/>
  <c r="D679" i="20"/>
  <c r="E414" i="20"/>
  <c r="F414" i="20" s="1"/>
  <c r="E947" i="20"/>
  <c r="F947" i="20" s="1"/>
  <c r="D948" i="20" s="1"/>
  <c r="G1004" i="13"/>
  <c r="E917" i="13"/>
  <c r="F917" i="13" s="1"/>
  <c r="E497" i="20"/>
  <c r="F497" i="20" s="1"/>
  <c r="A144" i="34"/>
  <c r="A145" i="34" s="1"/>
  <c r="B206" i="34"/>
  <c r="E222" i="13"/>
  <c r="F222" i="13" s="1"/>
  <c r="G916" i="13"/>
  <c r="E830" i="13"/>
  <c r="F830" i="13" s="1"/>
  <c r="E310" i="13"/>
  <c r="F310" i="13" s="1"/>
  <c r="E743" i="13"/>
  <c r="F743" i="13" s="1"/>
  <c r="D744" i="13" s="1"/>
  <c r="E322" i="20"/>
  <c r="F322" i="20" s="1"/>
  <c r="E1005" i="13"/>
  <c r="F1005" i="13" s="1"/>
  <c r="E229" i="20"/>
  <c r="F229" i="20" s="1"/>
  <c r="D230" i="20" s="1"/>
  <c r="E131" i="13"/>
  <c r="F131" i="13" s="1"/>
  <c r="E397" i="13"/>
  <c r="F397" i="13" s="1"/>
  <c r="E484" i="13"/>
  <c r="F484" i="13" s="1"/>
  <c r="D485" i="13" s="1"/>
  <c r="D415" i="20" l="1"/>
  <c r="E415" i="20" s="1"/>
  <c r="F415" i="20" s="1"/>
  <c r="D416" i="20" s="1"/>
  <c r="D398" i="13"/>
  <c r="E398" i="13" s="1"/>
  <c r="F398" i="13" s="1"/>
  <c r="G397" i="13"/>
  <c r="E658" i="13"/>
  <c r="F658" i="13" s="1"/>
  <c r="D659" i="13" s="1"/>
  <c r="D311" i="13"/>
  <c r="G310" i="13"/>
  <c r="D498" i="20"/>
  <c r="D831" i="13"/>
  <c r="G830" i="13"/>
  <c r="D223" i="13"/>
  <c r="G222" i="13"/>
  <c r="D918" i="13"/>
  <c r="G917" i="13"/>
  <c r="D1006" i="13"/>
  <c r="G1005" i="13"/>
  <c r="D132" i="13"/>
  <c r="G131" i="13"/>
  <c r="D323" i="20"/>
  <c r="D1039" i="20"/>
  <c r="E485" i="13"/>
  <c r="F485" i="13" s="1"/>
  <c r="E230" i="20"/>
  <c r="F230" i="20" s="1"/>
  <c r="D231" i="20" s="1"/>
  <c r="E744" i="13"/>
  <c r="F744" i="13" s="1"/>
  <c r="D745" i="13" s="1"/>
  <c r="A146" i="34"/>
  <c r="B208" i="34"/>
  <c r="E589" i="20"/>
  <c r="F589" i="20" s="1"/>
  <c r="E948" i="20"/>
  <c r="F948" i="20" s="1"/>
  <c r="D949" i="20" s="1"/>
  <c r="E679" i="20"/>
  <c r="F679" i="20" s="1"/>
  <c r="D680" i="20" s="1"/>
  <c r="E861" i="20"/>
  <c r="F861" i="20" s="1"/>
  <c r="D862" i="20" s="1"/>
  <c r="E766" i="20"/>
  <c r="F766" i="20" s="1"/>
  <c r="D767" i="20" s="1"/>
  <c r="G484" i="13"/>
  <c r="G743" i="13"/>
  <c r="E569" i="13"/>
  <c r="F569" i="13" s="1"/>
  <c r="D570" i="13" s="1"/>
  <c r="E135" i="20"/>
  <c r="F135" i="20" s="1"/>
  <c r="G658" i="13" l="1"/>
  <c r="E659" i="13"/>
  <c r="F659" i="13" s="1"/>
  <c r="D660" i="13" s="1"/>
  <c r="D486" i="13"/>
  <c r="G485" i="13"/>
  <c r="D136" i="20"/>
  <c r="D590" i="20"/>
  <c r="D399" i="13"/>
  <c r="G398" i="13"/>
  <c r="E767" i="20"/>
  <c r="F767" i="20" s="1"/>
  <c r="D768" i="20" s="1"/>
  <c r="E680" i="20"/>
  <c r="F680" i="20" s="1"/>
  <c r="D681" i="20" s="1"/>
  <c r="E949" i="20"/>
  <c r="F949" i="20" s="1"/>
  <c r="A147" i="34"/>
  <c r="B209" i="34"/>
  <c r="E231" i="20"/>
  <c r="F231" i="20" s="1"/>
  <c r="E570" i="13"/>
  <c r="F570" i="13" s="1"/>
  <c r="E498" i="20"/>
  <c r="F498" i="20" s="1"/>
  <c r="E1006" i="13"/>
  <c r="F1006" i="13" s="1"/>
  <c r="D1007" i="13" s="1"/>
  <c r="E323" i="20"/>
  <c r="F323" i="20" s="1"/>
  <c r="D324" i="20" s="1"/>
  <c r="E918" i="13"/>
  <c r="F918" i="13" s="1"/>
  <c r="E831" i="13"/>
  <c r="F831" i="13" s="1"/>
  <c r="D832" i="13" s="1"/>
  <c r="E862" i="20"/>
  <c r="F862" i="20" s="1"/>
  <c r="D863" i="20" s="1"/>
  <c r="E416" i="20"/>
  <c r="F416" i="20" s="1"/>
  <c r="D417" i="20" s="1"/>
  <c r="E745" i="13"/>
  <c r="F745" i="13" s="1"/>
  <c r="D746" i="13" s="1"/>
  <c r="E132" i="13"/>
  <c r="F132" i="13" s="1"/>
  <c r="D133" i="13" s="1"/>
  <c r="E223" i="13"/>
  <c r="F223" i="13" s="1"/>
  <c r="G569" i="13"/>
  <c r="G744" i="13"/>
  <c r="E1039" i="20"/>
  <c r="F1039" i="20" s="1"/>
  <c r="E311" i="13"/>
  <c r="F311" i="13" s="1"/>
  <c r="D312" i="13" s="1"/>
  <c r="G659" i="13" l="1"/>
  <c r="D499" i="20"/>
  <c r="E499" i="20" s="1"/>
  <c r="F499" i="20" s="1"/>
  <c r="D224" i="13"/>
  <c r="E224" i="13" s="1"/>
  <c r="F224" i="13" s="1"/>
  <c r="G223" i="13"/>
  <c r="D1040" i="20"/>
  <c r="E1040" i="20" s="1"/>
  <c r="F1040" i="20" s="1"/>
  <c r="G831" i="13"/>
  <c r="E660" i="13"/>
  <c r="F660" i="13" s="1"/>
  <c r="D661" i="13" s="1"/>
  <c r="E661" i="13" s="1"/>
  <c r="F661" i="13" s="1"/>
  <c r="D662" i="13" s="1"/>
  <c r="D571" i="13"/>
  <c r="G570" i="13"/>
  <c r="D950" i="20"/>
  <c r="D919" i="13"/>
  <c r="G918" i="13"/>
  <c r="D232" i="20"/>
  <c r="E133" i="13"/>
  <c r="F133" i="13" s="1"/>
  <c r="E863" i="20"/>
  <c r="F863" i="20" s="1"/>
  <c r="D864" i="20" s="1"/>
  <c r="E312" i="13"/>
  <c r="F312" i="13" s="1"/>
  <c r="E832" i="13"/>
  <c r="F832" i="13" s="1"/>
  <c r="E1007" i="13"/>
  <c r="F1007" i="13" s="1"/>
  <c r="B152" i="34"/>
  <c r="A150" i="34"/>
  <c r="E136" i="20"/>
  <c r="F136" i="20" s="1"/>
  <c r="E746" i="13"/>
  <c r="F746" i="13" s="1"/>
  <c r="E324" i="20"/>
  <c r="F324" i="20" s="1"/>
  <c r="E768" i="20"/>
  <c r="F768" i="20" s="1"/>
  <c r="D769" i="20" s="1"/>
  <c r="G311" i="13"/>
  <c r="G132" i="13"/>
  <c r="G1006" i="13"/>
  <c r="E590" i="20"/>
  <c r="F590" i="20" s="1"/>
  <c r="D591" i="20" s="1"/>
  <c r="E417" i="20"/>
  <c r="F417" i="20" s="1"/>
  <c r="E681" i="20"/>
  <c r="F681" i="20" s="1"/>
  <c r="G745" i="13"/>
  <c r="E399" i="13"/>
  <c r="F399" i="13" s="1"/>
  <c r="D400" i="13" s="1"/>
  <c r="E486" i="13"/>
  <c r="F486" i="13" s="1"/>
  <c r="G661" i="13" l="1"/>
  <c r="D137" i="20"/>
  <c r="E137" i="20" s="1"/>
  <c r="F137" i="20" s="1"/>
  <c r="D1041" i="20"/>
  <c r="E1041" i="20" s="1"/>
  <c r="F1041" i="20" s="1"/>
  <c r="G660" i="13"/>
  <c r="D682" i="20"/>
  <c r="D225" i="13"/>
  <c r="G224" i="13"/>
  <c r="D487" i="13"/>
  <c r="G486" i="13"/>
  <c r="D500" i="20"/>
  <c r="D325" i="20"/>
  <c r="D313" i="13"/>
  <c r="G312" i="13"/>
  <c r="D747" i="13"/>
  <c r="G746" i="13"/>
  <c r="D833" i="13"/>
  <c r="G832" i="13"/>
  <c r="D418" i="20"/>
  <c r="D1008" i="13"/>
  <c r="G1007" i="13"/>
  <c r="D134" i="13"/>
  <c r="G133" i="13"/>
  <c r="G399" i="13"/>
  <c r="E662" i="13"/>
  <c r="F662" i="13" s="1"/>
  <c r="E950" i="20"/>
  <c r="F950" i="20" s="1"/>
  <c r="E591" i="20"/>
  <c r="F591" i="20" s="1"/>
  <c r="E769" i="20"/>
  <c r="F769" i="20" s="1"/>
  <c r="E919" i="13"/>
  <c r="F919" i="13" s="1"/>
  <c r="D920" i="13" s="1"/>
  <c r="E400" i="13"/>
  <c r="F400" i="13" s="1"/>
  <c r="D401" i="13" s="1"/>
  <c r="E864" i="20"/>
  <c r="F864" i="20" s="1"/>
  <c r="D865" i="20" s="1"/>
  <c r="E232" i="20"/>
  <c r="F232" i="20" s="1"/>
  <c r="D233" i="20" s="1"/>
  <c r="A151" i="34"/>
  <c r="E571" i="13"/>
  <c r="F571" i="13" s="1"/>
  <c r="D572" i="13" s="1"/>
  <c r="D592" i="20" l="1"/>
  <c r="D951" i="20"/>
  <c r="D663" i="13"/>
  <c r="G662" i="13"/>
  <c r="D1042" i="20"/>
  <c r="D138" i="20"/>
  <c r="D770" i="20"/>
  <c r="E865" i="20"/>
  <c r="F865" i="20" s="1"/>
  <c r="E920" i="13"/>
  <c r="F920" i="13" s="1"/>
  <c r="E418" i="20"/>
  <c r="F418" i="20" s="1"/>
  <c r="D419" i="20" s="1"/>
  <c r="E225" i="13"/>
  <c r="F225" i="13" s="1"/>
  <c r="G571" i="13"/>
  <c r="A152" i="34"/>
  <c r="E1008" i="13"/>
  <c r="F1008" i="13" s="1"/>
  <c r="E325" i="20"/>
  <c r="F325" i="20" s="1"/>
  <c r="E233" i="20"/>
  <c r="F233" i="20" s="1"/>
  <c r="D234" i="20" s="1"/>
  <c r="E401" i="13"/>
  <c r="F401" i="13" s="1"/>
  <c r="E747" i="13"/>
  <c r="F747" i="13" s="1"/>
  <c r="D748" i="13" s="1"/>
  <c r="E500" i="20"/>
  <c r="F500" i="20" s="1"/>
  <c r="G400" i="13"/>
  <c r="E833" i="13"/>
  <c r="F833" i="13" s="1"/>
  <c r="E313" i="13"/>
  <c r="F313" i="13" s="1"/>
  <c r="E487" i="13"/>
  <c r="F487" i="13" s="1"/>
  <c r="E572" i="13"/>
  <c r="F572" i="13" s="1"/>
  <c r="G919" i="13"/>
  <c r="E134" i="13"/>
  <c r="F134" i="13" s="1"/>
  <c r="E682" i="20"/>
  <c r="F682" i="20" s="1"/>
  <c r="D488" i="13" l="1"/>
  <c r="E488" i="13" s="1"/>
  <c r="F488" i="13" s="1"/>
  <c r="G487" i="13"/>
  <c r="D834" i="13"/>
  <c r="G833" i="13"/>
  <c r="D326" i="20"/>
  <c r="D226" i="13"/>
  <c r="G225" i="13"/>
  <c r="D921" i="13"/>
  <c r="G920" i="13"/>
  <c r="D573" i="13"/>
  <c r="G572" i="13"/>
  <c r="D314" i="13"/>
  <c r="G313" i="13"/>
  <c r="D135" i="13"/>
  <c r="G134" i="13"/>
  <c r="D1009" i="13"/>
  <c r="G1008" i="13"/>
  <c r="D866" i="20"/>
  <c r="D402" i="13"/>
  <c r="G401" i="13"/>
  <c r="D683" i="20"/>
  <c r="D501" i="20"/>
  <c r="E234" i="20"/>
  <c r="F234" i="20" s="1"/>
  <c r="E138" i="20"/>
  <c r="F138" i="20" s="1"/>
  <c r="E951" i="20"/>
  <c r="F951" i="20" s="1"/>
  <c r="G747" i="13"/>
  <c r="E770" i="20"/>
  <c r="F770" i="20" s="1"/>
  <c r="E663" i="13"/>
  <c r="F663" i="13" s="1"/>
  <c r="D664" i="13" s="1"/>
  <c r="A153" i="34"/>
  <c r="E419" i="20"/>
  <c r="F419" i="20" s="1"/>
  <c r="D420" i="20" s="1"/>
  <c r="E748" i="13"/>
  <c r="F748" i="13" s="1"/>
  <c r="D749" i="13" s="1"/>
  <c r="E1042" i="20"/>
  <c r="F1042" i="20" s="1"/>
  <c r="E592" i="20"/>
  <c r="F592" i="20" s="1"/>
  <c r="D593" i="20" s="1"/>
  <c r="D489" i="13" l="1"/>
  <c r="E489" i="13" s="1"/>
  <c r="F489" i="13" s="1"/>
  <c r="G488" i="13"/>
  <c r="D952" i="20"/>
  <c r="E952" i="20" s="1"/>
  <c r="F952" i="20" s="1"/>
  <c r="D235" i="20"/>
  <c r="D771" i="20"/>
  <c r="D1043" i="20"/>
  <c r="D139" i="20"/>
  <c r="E593" i="20"/>
  <c r="F593" i="20" s="1"/>
  <c r="E749" i="13"/>
  <c r="F749" i="13" s="1"/>
  <c r="A155" i="34"/>
  <c r="B155" i="34"/>
  <c r="B156" i="34"/>
  <c r="G748" i="13"/>
  <c r="E420" i="20"/>
  <c r="F420" i="20" s="1"/>
  <c r="D421" i="20" s="1"/>
  <c r="E683" i="20"/>
  <c r="F683" i="20" s="1"/>
  <c r="E326" i="20"/>
  <c r="F326" i="20" s="1"/>
  <c r="E664" i="13"/>
  <c r="F664" i="13" s="1"/>
  <c r="D665" i="13" s="1"/>
  <c r="E1009" i="13"/>
  <c r="F1009" i="13" s="1"/>
  <c r="D1010" i="13" s="1"/>
  <c r="E314" i="13"/>
  <c r="F314" i="13" s="1"/>
  <c r="E921" i="13"/>
  <c r="F921" i="13" s="1"/>
  <c r="E501" i="20"/>
  <c r="F501" i="20" s="1"/>
  <c r="D502" i="20" s="1"/>
  <c r="E866" i="20"/>
  <c r="F866" i="20" s="1"/>
  <c r="E135" i="13"/>
  <c r="F135" i="13" s="1"/>
  <c r="E573" i="13"/>
  <c r="F573" i="13" s="1"/>
  <c r="E226" i="13"/>
  <c r="F226" i="13" s="1"/>
  <c r="D227" i="13" s="1"/>
  <c r="B157" i="34"/>
  <c r="G663" i="13"/>
  <c r="E402" i="13"/>
  <c r="F402" i="13" s="1"/>
  <c r="E834" i="13"/>
  <c r="F834" i="13" s="1"/>
  <c r="D835" i="13" l="1"/>
  <c r="E835" i="13" s="1"/>
  <c r="F835" i="13" s="1"/>
  <c r="G834" i="13"/>
  <c r="D867" i="20"/>
  <c r="E867" i="20" s="1"/>
  <c r="F867" i="20" s="1"/>
  <c r="D868" i="20" s="1"/>
  <c r="D922" i="13"/>
  <c r="E922" i="13" s="1"/>
  <c r="F922" i="13" s="1"/>
  <c r="G921" i="13"/>
  <c r="D684" i="20"/>
  <c r="E684" i="20" s="1"/>
  <c r="F684" i="20" s="1"/>
  <c r="G664" i="13"/>
  <c r="D953" i="20"/>
  <c r="D136" i="13"/>
  <c r="G135" i="13"/>
  <c r="D490" i="13"/>
  <c r="G489" i="13"/>
  <c r="D574" i="13"/>
  <c r="G573" i="13"/>
  <c r="D750" i="13"/>
  <c r="G749" i="13"/>
  <c r="D327" i="20"/>
  <c r="D403" i="13"/>
  <c r="G402" i="13"/>
  <c r="D315" i="13"/>
  <c r="G314" i="13"/>
  <c r="D594" i="20"/>
  <c r="E771" i="20"/>
  <c r="F771" i="20" s="1"/>
  <c r="D772" i="20" s="1"/>
  <c r="E1043" i="20"/>
  <c r="F1043" i="20" s="1"/>
  <c r="E227" i="13"/>
  <c r="F227" i="13" s="1"/>
  <c r="E502" i="20"/>
  <c r="F502" i="20" s="1"/>
  <c r="D503" i="20" s="1"/>
  <c r="E1010" i="13"/>
  <c r="F1010" i="13" s="1"/>
  <c r="D1011" i="13" s="1"/>
  <c r="E421" i="20"/>
  <c r="F421" i="20" s="1"/>
  <c r="A156" i="34"/>
  <c r="E139" i="20"/>
  <c r="F139" i="20" s="1"/>
  <c r="D140" i="20" s="1"/>
  <c r="G226" i="13"/>
  <c r="G1009" i="13"/>
  <c r="E665" i="13"/>
  <c r="F665" i="13" s="1"/>
  <c r="E235" i="20"/>
  <c r="F235" i="20" s="1"/>
  <c r="D1044" i="20" l="1"/>
  <c r="E1044" i="20" s="1"/>
  <c r="F1044" i="20" s="1"/>
  <c r="D666" i="13"/>
  <c r="E666" i="13" s="1"/>
  <c r="G665" i="13"/>
  <c r="D236" i="20"/>
  <c r="D422" i="20"/>
  <c r="D836" i="13"/>
  <c r="G835" i="13"/>
  <c r="D923" i="13"/>
  <c r="G922" i="13"/>
  <c r="D685" i="20"/>
  <c r="D228" i="13"/>
  <c r="G227" i="13"/>
  <c r="E868" i="20"/>
  <c r="F868" i="20" s="1"/>
  <c r="D869" i="20" s="1"/>
  <c r="E140" i="20"/>
  <c r="F140" i="20" s="1"/>
  <c r="D141" i="20" s="1"/>
  <c r="E503" i="20"/>
  <c r="F503" i="20" s="1"/>
  <c r="E772" i="20"/>
  <c r="F772" i="20" s="1"/>
  <c r="E136" i="13"/>
  <c r="F136" i="13" s="1"/>
  <c r="A157" i="34"/>
  <c r="G1010" i="13"/>
  <c r="E594" i="20"/>
  <c r="F594" i="20" s="1"/>
  <c r="E403" i="13"/>
  <c r="F403" i="13" s="1"/>
  <c r="D404" i="13" s="1"/>
  <c r="E1011" i="13"/>
  <c r="F1011" i="13" s="1"/>
  <c r="D1012" i="13" s="1"/>
  <c r="E327" i="20"/>
  <c r="F327" i="20" s="1"/>
  <c r="E574" i="13"/>
  <c r="F574" i="13" s="1"/>
  <c r="E750" i="13"/>
  <c r="F750" i="13" s="1"/>
  <c r="E490" i="13"/>
  <c r="F490" i="13" s="1"/>
  <c r="E315" i="13"/>
  <c r="F315" i="13" s="1"/>
  <c r="D316" i="13" s="1"/>
  <c r="E953" i="20"/>
  <c r="F953" i="20" s="1"/>
  <c r="G315" i="13" l="1"/>
  <c r="F666" i="13"/>
  <c r="D667" i="13" s="1"/>
  <c r="E667" i="13" s="1"/>
  <c r="F667" i="13" s="1"/>
  <c r="D575" i="13"/>
  <c r="E575" i="13" s="1"/>
  <c r="F575" i="13" s="1"/>
  <c r="D576" i="13" s="1"/>
  <c r="G574" i="13"/>
  <c r="D328" i="20"/>
  <c r="E328" i="20" s="1"/>
  <c r="F328" i="20" s="1"/>
  <c r="D491" i="13"/>
  <c r="E491" i="13" s="1"/>
  <c r="F491" i="13" s="1"/>
  <c r="G490" i="13"/>
  <c r="D954" i="20"/>
  <c r="D751" i="13"/>
  <c r="G750" i="13"/>
  <c r="D504" i="20"/>
  <c r="D1045" i="20"/>
  <c r="D137" i="13"/>
  <c r="G136" i="13"/>
  <c r="D595" i="20"/>
  <c r="D773" i="20"/>
  <c r="E1012" i="13"/>
  <c r="F1012" i="13" s="1"/>
  <c r="E404" i="13"/>
  <c r="F404" i="13" s="1"/>
  <c r="D405" i="13" s="1"/>
  <c r="E141" i="20"/>
  <c r="F141" i="20" s="1"/>
  <c r="E869" i="20"/>
  <c r="F869" i="20" s="1"/>
  <c r="E316" i="13"/>
  <c r="F316" i="13" s="1"/>
  <c r="G1011" i="13"/>
  <c r="A159" i="34"/>
  <c r="A161" i="34" s="1"/>
  <c r="A162" i="34" s="1"/>
  <c r="A163" i="34" s="1"/>
  <c r="A166" i="34" s="1"/>
  <c r="E685" i="20"/>
  <c r="F685" i="20" s="1"/>
  <c r="D686" i="20" s="1"/>
  <c r="E836" i="13"/>
  <c r="F836" i="13" s="1"/>
  <c r="E422" i="20"/>
  <c r="F422" i="20" s="1"/>
  <c r="G403" i="13"/>
  <c r="E228" i="13"/>
  <c r="F228" i="13" s="1"/>
  <c r="E923" i="13"/>
  <c r="F923" i="13" s="1"/>
  <c r="E236" i="20"/>
  <c r="F236" i="20" s="1"/>
  <c r="G666" i="13" l="1"/>
  <c r="D1013" i="13"/>
  <c r="E1013" i="13" s="1"/>
  <c r="F1013" i="13" s="1"/>
  <c r="G1012" i="13"/>
  <c r="D423" i="20"/>
  <c r="E423" i="20" s="1"/>
  <c r="F423" i="20" s="1"/>
  <c r="D424" i="20" s="1"/>
  <c r="D870" i="20"/>
  <c r="D924" i="13"/>
  <c r="G923" i="13"/>
  <c r="D229" i="13"/>
  <c r="G228" i="13"/>
  <c r="D317" i="13"/>
  <c r="G316" i="13"/>
  <c r="D142" i="20"/>
  <c r="D837" i="13"/>
  <c r="G836" i="13"/>
  <c r="D668" i="13"/>
  <c r="G667" i="13"/>
  <c r="D237" i="20"/>
  <c r="D329" i="20"/>
  <c r="D492" i="13"/>
  <c r="G491" i="13"/>
  <c r="E686" i="20"/>
  <c r="F686" i="20" s="1"/>
  <c r="E137" i="13"/>
  <c r="F137" i="13" s="1"/>
  <c r="E751" i="13"/>
  <c r="F751" i="13" s="1"/>
  <c r="G575" i="13"/>
  <c r="E405" i="13"/>
  <c r="F405" i="13" s="1"/>
  <c r="E576" i="13"/>
  <c r="F576" i="13" s="1"/>
  <c r="A167" i="34"/>
  <c r="B171" i="34"/>
  <c r="G404" i="13"/>
  <c r="E595" i="20"/>
  <c r="F595" i="20" s="1"/>
  <c r="E504" i="20"/>
  <c r="F504" i="20" s="1"/>
  <c r="D505" i="20" s="1"/>
  <c r="E773" i="20"/>
  <c r="F773" i="20" s="1"/>
  <c r="D774" i="20" s="1"/>
  <c r="E1045" i="20"/>
  <c r="F1045" i="20" s="1"/>
  <c r="D1046" i="20" s="1"/>
  <c r="E954" i="20"/>
  <c r="F954" i="20" s="1"/>
  <c r="D955" i="20" s="1"/>
  <c r="D687" i="20" l="1"/>
  <c r="E687" i="20" s="1"/>
  <c r="F687" i="20" s="1"/>
  <c r="D1014" i="13"/>
  <c r="E1014" i="13" s="1"/>
  <c r="F1014" i="13" s="1"/>
  <c r="G1013" i="13"/>
  <c r="D596" i="20"/>
  <c r="D752" i="13"/>
  <c r="G751" i="13"/>
  <c r="D577" i="13"/>
  <c r="G576" i="13"/>
  <c r="D138" i="13"/>
  <c r="G137" i="13"/>
  <c r="D406" i="13"/>
  <c r="G405" i="13"/>
  <c r="E492" i="13"/>
  <c r="F492" i="13" s="1"/>
  <c r="E668" i="13"/>
  <c r="F668" i="13" s="1"/>
  <c r="E774" i="20"/>
  <c r="F774" i="20" s="1"/>
  <c r="E505" i="20"/>
  <c r="F505" i="20" s="1"/>
  <c r="A168" i="34"/>
  <c r="B172" i="34"/>
  <c r="E317" i="13"/>
  <c r="F317" i="13" s="1"/>
  <c r="E142" i="20"/>
  <c r="F142" i="20" s="1"/>
  <c r="E229" i="13"/>
  <c r="F229" i="13" s="1"/>
  <c r="E955" i="20"/>
  <c r="F955" i="20" s="1"/>
  <c r="E424" i="20"/>
  <c r="F424" i="20" s="1"/>
  <c r="D425" i="20" s="1"/>
  <c r="E329" i="20"/>
  <c r="F329" i="20" s="1"/>
  <c r="E924" i="13"/>
  <c r="F924" i="13" s="1"/>
  <c r="E1046" i="20"/>
  <c r="F1046" i="20" s="1"/>
  <c r="E237" i="20"/>
  <c r="F237" i="20" s="1"/>
  <c r="D238" i="20" s="1"/>
  <c r="E837" i="13"/>
  <c r="F837" i="13" s="1"/>
  <c r="E870" i="20"/>
  <c r="F870" i="20" s="1"/>
  <c r="D871" i="20" l="1"/>
  <c r="E871" i="20" s="1"/>
  <c r="F871" i="20" s="1"/>
  <c r="D230" i="13"/>
  <c r="E230" i="13" s="1"/>
  <c r="F230" i="13" s="1"/>
  <c r="G229" i="13"/>
  <c r="D838" i="13"/>
  <c r="G837" i="13"/>
  <c r="D493" i="13"/>
  <c r="G492" i="13"/>
  <c r="D925" i="13"/>
  <c r="G924" i="13"/>
  <c r="D956" i="20"/>
  <c r="D143" i="20"/>
  <c r="D688" i="20"/>
  <c r="D318" i="13"/>
  <c r="G317" i="13"/>
  <c r="D775" i="20"/>
  <c r="D330" i="20"/>
  <c r="D1015" i="13"/>
  <c r="G1014" i="13"/>
  <c r="D1047" i="20"/>
  <c r="D506" i="20"/>
  <c r="D669" i="13"/>
  <c r="G668" i="13"/>
  <c r="E238" i="20"/>
  <c r="F238" i="20" s="1"/>
  <c r="E425" i="20"/>
  <c r="F425" i="20" s="1"/>
  <c r="E138" i="13"/>
  <c r="F138" i="13" s="1"/>
  <c r="E406" i="13"/>
  <c r="F406" i="13" s="1"/>
  <c r="E577" i="13"/>
  <c r="F577" i="13" s="1"/>
  <c r="E752" i="13"/>
  <c r="F752" i="13" s="1"/>
  <c r="A171" i="34"/>
  <c r="A172" i="34" s="1"/>
  <c r="A173" i="34" s="1"/>
  <c r="A174" i="34" s="1"/>
  <c r="A183" i="34" s="1"/>
  <c r="A184" i="34" s="1"/>
  <c r="A185" i="34" s="1"/>
  <c r="A186" i="34" s="1"/>
  <c r="A187" i="34" s="1"/>
  <c r="A188" i="34" s="1"/>
  <c r="B173" i="34"/>
  <c r="E596" i="20"/>
  <c r="F596" i="20" s="1"/>
  <c r="D231" i="13" l="1"/>
  <c r="G230" i="13"/>
  <c r="D407" i="13"/>
  <c r="G406" i="13"/>
  <c r="D426" i="20"/>
  <c r="D872" i="20"/>
  <c r="D578" i="13"/>
  <c r="G577" i="13"/>
  <c r="D597" i="20"/>
  <c r="D753" i="13"/>
  <c r="G752" i="13"/>
  <c r="D139" i="13"/>
  <c r="G138" i="13"/>
  <c r="D239" i="20"/>
  <c r="E669" i="13"/>
  <c r="F669" i="13" s="1"/>
  <c r="D670" i="13" s="1"/>
  <c r="E956" i="20"/>
  <c r="F956" i="20" s="1"/>
  <c r="E493" i="13"/>
  <c r="F493" i="13" s="1"/>
  <c r="E1015" i="13"/>
  <c r="F1015" i="13" s="1"/>
  <c r="D1016" i="13" s="1"/>
  <c r="E318" i="13"/>
  <c r="F318" i="13" s="1"/>
  <c r="D319" i="13" s="1"/>
  <c r="E1047" i="20"/>
  <c r="F1047" i="20" s="1"/>
  <c r="E775" i="20"/>
  <c r="F775" i="20" s="1"/>
  <c r="D776" i="20" s="1"/>
  <c r="E143" i="20"/>
  <c r="F143" i="20" s="1"/>
  <c r="D144" i="20" s="1"/>
  <c r="A190" i="34"/>
  <c r="B213" i="34"/>
  <c r="E506" i="20"/>
  <c r="F506" i="20" s="1"/>
  <c r="E330" i="20"/>
  <c r="F330" i="20" s="1"/>
  <c r="E688" i="20"/>
  <c r="F688" i="20" s="1"/>
  <c r="E925" i="13"/>
  <c r="F925" i="13" s="1"/>
  <c r="E838" i="13"/>
  <c r="F838" i="13" s="1"/>
  <c r="D957" i="20" l="1"/>
  <c r="E957" i="20" s="1"/>
  <c r="F957" i="20" s="1"/>
  <c r="D958" i="20" s="1"/>
  <c r="D494" i="13"/>
  <c r="E494" i="13" s="1"/>
  <c r="F494" i="13" s="1"/>
  <c r="D495" i="13" s="1"/>
  <c r="G493" i="13"/>
  <c r="D926" i="13"/>
  <c r="G925" i="13"/>
  <c r="D507" i="20"/>
  <c r="D1048" i="20"/>
  <c r="D331" i="20"/>
  <c r="D689" i="20"/>
  <c r="D839" i="13"/>
  <c r="G838" i="13"/>
  <c r="E776" i="20"/>
  <c r="F776" i="20" s="1"/>
  <c r="E1016" i="13"/>
  <c r="F1016" i="13" s="1"/>
  <c r="E578" i="13"/>
  <c r="F578" i="13" s="1"/>
  <c r="D579" i="13" s="1"/>
  <c r="E407" i="13"/>
  <c r="F407" i="13" s="1"/>
  <c r="E319" i="13"/>
  <c r="F319" i="13" s="1"/>
  <c r="D320" i="13" s="1"/>
  <c r="E239" i="20"/>
  <c r="F239" i="20" s="1"/>
  <c r="B187" i="34"/>
  <c r="A193" i="34"/>
  <c r="A194" i="34" s="1"/>
  <c r="A195" i="34" s="1"/>
  <c r="A196" i="34" s="1"/>
  <c r="A197" i="34" s="1"/>
  <c r="A198" i="34" s="1"/>
  <c r="A199" i="34" s="1"/>
  <c r="E144" i="20"/>
  <c r="F144" i="20" s="1"/>
  <c r="G1015" i="13"/>
  <c r="E139" i="13"/>
  <c r="F139" i="13" s="1"/>
  <c r="E670" i="13"/>
  <c r="F670" i="13" s="1"/>
  <c r="E753" i="13"/>
  <c r="F753" i="13" s="1"/>
  <c r="D754" i="13" s="1"/>
  <c r="E872" i="20"/>
  <c r="F872" i="20" s="1"/>
  <c r="G318" i="13"/>
  <c r="G669" i="13"/>
  <c r="E597" i="20"/>
  <c r="F597" i="20" s="1"/>
  <c r="D598" i="20" s="1"/>
  <c r="E426" i="20"/>
  <c r="F426" i="20" s="1"/>
  <c r="D427" i="20" s="1"/>
  <c r="E231" i="13"/>
  <c r="F231" i="13" s="1"/>
  <c r="D232" i="13" l="1"/>
  <c r="E232" i="13" s="1"/>
  <c r="F232" i="13" s="1"/>
  <c r="D233" i="13" s="1"/>
  <c r="G231" i="13"/>
  <c r="D240" i="20"/>
  <c r="E240" i="20" s="1"/>
  <c r="F240" i="20" s="1"/>
  <c r="D241" i="20" s="1"/>
  <c r="D777" i="20"/>
  <c r="E777" i="20" s="1"/>
  <c r="F777" i="20" s="1"/>
  <c r="D873" i="20"/>
  <c r="E873" i="20" s="1"/>
  <c r="F873" i="20" s="1"/>
  <c r="D145" i="20"/>
  <c r="D140" i="13"/>
  <c r="G139" i="13"/>
  <c r="D408" i="13"/>
  <c r="G407" i="13"/>
  <c r="D671" i="13"/>
  <c r="G670" i="13"/>
  <c r="D1017" i="13"/>
  <c r="G1016" i="13"/>
  <c r="E598" i="20"/>
  <c r="F598" i="20" s="1"/>
  <c r="D599" i="20" s="1"/>
  <c r="E754" i="13"/>
  <c r="F754" i="13" s="1"/>
  <c r="E958" i="20"/>
  <c r="F958" i="20" s="1"/>
  <c r="E320" i="13"/>
  <c r="F320" i="13" s="1"/>
  <c r="D321" i="13" s="1"/>
  <c r="E579" i="13"/>
  <c r="F579" i="13" s="1"/>
  <c r="E689" i="20"/>
  <c r="F689" i="20" s="1"/>
  <c r="G494" i="13"/>
  <c r="G753" i="13"/>
  <c r="G319" i="13"/>
  <c r="E839" i="13"/>
  <c r="F839" i="13" s="1"/>
  <c r="E507" i="20"/>
  <c r="F507" i="20" s="1"/>
  <c r="D508" i="20" s="1"/>
  <c r="E427" i="20"/>
  <c r="F427" i="20" s="1"/>
  <c r="E495" i="13"/>
  <c r="F495" i="13" s="1"/>
  <c r="D496" i="13" s="1"/>
  <c r="G578" i="13"/>
  <c r="E1048" i="20"/>
  <c r="F1048" i="20" s="1"/>
  <c r="D1049" i="20" s="1"/>
  <c r="A202" i="34"/>
  <c r="E241" i="2"/>
  <c r="B229" i="34"/>
  <c r="E331" i="20"/>
  <c r="F331" i="20" s="1"/>
  <c r="D332" i="20" s="1"/>
  <c r="E926" i="13"/>
  <c r="F926" i="13" s="1"/>
  <c r="D927" i="13" s="1"/>
  <c r="D428" i="20" l="1"/>
  <c r="E428" i="20" s="1"/>
  <c r="F428" i="20" s="1"/>
  <c r="G320" i="13"/>
  <c r="D778" i="20"/>
  <c r="D580" i="13"/>
  <c r="G579" i="13"/>
  <c r="D959" i="20"/>
  <c r="D874" i="20"/>
  <c r="D690" i="20"/>
  <c r="D755" i="13"/>
  <c r="G754" i="13"/>
  <c r="D840" i="13"/>
  <c r="G839" i="13"/>
  <c r="E927" i="13"/>
  <c r="F927" i="13" s="1"/>
  <c r="D928" i="13" s="1"/>
  <c r="E332" i="20"/>
  <c r="F332" i="20" s="1"/>
  <c r="E140" i="13"/>
  <c r="F140" i="13" s="1"/>
  <c r="E241" i="20"/>
  <c r="F241" i="20" s="1"/>
  <c r="A203" i="34"/>
  <c r="B207" i="34"/>
  <c r="B214" i="34"/>
  <c r="E1049" i="20"/>
  <c r="F1049" i="20" s="1"/>
  <c r="D1050" i="20" s="1"/>
  <c r="E508" i="20"/>
  <c r="F508" i="20" s="1"/>
  <c r="E671" i="13"/>
  <c r="F671" i="13" s="1"/>
  <c r="G926" i="13"/>
  <c r="G495" i="13"/>
  <c r="E321" i="13"/>
  <c r="F321" i="13" s="1"/>
  <c r="D322" i="13" s="1"/>
  <c r="E1017" i="13"/>
  <c r="F1017" i="13" s="1"/>
  <c r="D1018" i="13" s="1"/>
  <c r="E408" i="13"/>
  <c r="F408" i="13" s="1"/>
  <c r="E233" i="13"/>
  <c r="F233" i="13" s="1"/>
  <c r="E496" i="13"/>
  <c r="F496" i="13" s="1"/>
  <c r="D497" i="13" s="1"/>
  <c r="E599" i="20"/>
  <c r="F599" i="20" s="1"/>
  <c r="G232" i="13"/>
  <c r="E145" i="20"/>
  <c r="F145" i="20" s="1"/>
  <c r="D146" i="20" l="1"/>
  <c r="E146" i="20" s="1"/>
  <c r="F146" i="20" s="1"/>
  <c r="D333" i="20"/>
  <c r="E333" i="20" s="1"/>
  <c r="F333" i="20" s="1"/>
  <c r="D509" i="20"/>
  <c r="E509" i="20" s="1"/>
  <c r="F509" i="20" s="1"/>
  <c r="D510" i="20" s="1"/>
  <c r="D409" i="13"/>
  <c r="E409" i="13" s="1"/>
  <c r="F409" i="13" s="1"/>
  <c r="G408" i="13"/>
  <c r="D234" i="13"/>
  <c r="G233" i="13"/>
  <c r="D672" i="13"/>
  <c r="G671" i="13"/>
  <c r="D600" i="20"/>
  <c r="D429" i="20"/>
  <c r="D242" i="20"/>
  <c r="D141" i="13"/>
  <c r="G140" i="13"/>
  <c r="E1018" i="13"/>
  <c r="F1018" i="13" s="1"/>
  <c r="E322" i="13"/>
  <c r="F322" i="13" s="1"/>
  <c r="D323" i="13" s="1"/>
  <c r="E928" i="13"/>
  <c r="F928" i="13" s="1"/>
  <c r="D929" i="13" s="1"/>
  <c r="E690" i="20"/>
  <c r="F690" i="20" s="1"/>
  <c r="E580" i="13"/>
  <c r="F580" i="13" s="1"/>
  <c r="E755" i="13"/>
  <c r="F755" i="13" s="1"/>
  <c r="D756" i="13" s="1"/>
  <c r="G496" i="13"/>
  <c r="E242" i="2"/>
  <c r="A206" i="34"/>
  <c r="B230" i="34"/>
  <c r="E959" i="20"/>
  <c r="F959" i="20" s="1"/>
  <c r="E497" i="13"/>
  <c r="F497" i="13" s="1"/>
  <c r="D498" i="13" s="1"/>
  <c r="G1017" i="13"/>
  <c r="G321" i="13"/>
  <c r="E1050" i="20"/>
  <c r="F1050" i="20" s="1"/>
  <c r="D1051" i="20" s="1"/>
  <c r="G927" i="13"/>
  <c r="E840" i="13"/>
  <c r="F840" i="13" s="1"/>
  <c r="D841" i="13" s="1"/>
  <c r="E874" i="20"/>
  <c r="F874" i="20" s="1"/>
  <c r="D875" i="20" s="1"/>
  <c r="E778" i="20"/>
  <c r="F778" i="20" s="1"/>
  <c r="D779" i="20" l="1"/>
  <c r="E779" i="20" s="1"/>
  <c r="F779" i="20" s="1"/>
  <c r="D780" i="20" s="1"/>
  <c r="D691" i="20"/>
  <c r="E691" i="20" s="1"/>
  <c r="F691" i="20" s="1"/>
  <c r="G840" i="13"/>
  <c r="D410" i="13"/>
  <c r="G409" i="13"/>
  <c r="D960" i="20"/>
  <c r="D147" i="20"/>
  <c r="D334" i="20"/>
  <c r="D581" i="13"/>
  <c r="G580" i="13"/>
  <c r="D1019" i="13"/>
  <c r="G1018" i="13"/>
  <c r="E875" i="20"/>
  <c r="F875" i="20" s="1"/>
  <c r="D876" i="20" s="1"/>
  <c r="E1051" i="20"/>
  <c r="F1051" i="20" s="1"/>
  <c r="E510" i="20"/>
  <c r="F510" i="20" s="1"/>
  <c r="E498" i="13"/>
  <c r="F498" i="13" s="1"/>
  <c r="D499" i="13" s="1"/>
  <c r="G755" i="13"/>
  <c r="G928" i="13"/>
  <c r="E429" i="20"/>
  <c r="F429" i="20" s="1"/>
  <c r="A207" i="34"/>
  <c r="E244" i="2"/>
  <c r="E756" i="13"/>
  <c r="F756" i="13" s="1"/>
  <c r="E929" i="13"/>
  <c r="F929" i="13" s="1"/>
  <c r="E323" i="13"/>
  <c r="F323" i="13" s="1"/>
  <c r="D324" i="13" s="1"/>
  <c r="E242" i="20"/>
  <c r="F242" i="20" s="1"/>
  <c r="E672" i="13"/>
  <c r="F672" i="13" s="1"/>
  <c r="D673" i="13" s="1"/>
  <c r="E841" i="13"/>
  <c r="F841" i="13" s="1"/>
  <c r="G497" i="13"/>
  <c r="G322" i="13"/>
  <c r="E141" i="13"/>
  <c r="F141" i="13" s="1"/>
  <c r="E600" i="20"/>
  <c r="F600" i="20" s="1"/>
  <c r="D601" i="20" s="1"/>
  <c r="E234" i="13"/>
  <c r="F234" i="13" s="1"/>
  <c r="D235" i="13" s="1"/>
  <c r="D757" i="13" l="1"/>
  <c r="E757" i="13" s="1"/>
  <c r="F757" i="13" s="1"/>
  <c r="G756" i="13"/>
  <c r="G672" i="13"/>
  <c r="D1052" i="20"/>
  <c r="D692" i="20"/>
  <c r="D842" i="13"/>
  <c r="G841" i="13"/>
  <c r="D930" i="13"/>
  <c r="G929" i="13"/>
  <c r="D243" i="20"/>
  <c r="D142" i="13"/>
  <c r="G141" i="13"/>
  <c r="D430" i="20"/>
  <c r="D511" i="20"/>
  <c r="E780" i="20"/>
  <c r="F780" i="20" s="1"/>
  <c r="E324" i="13"/>
  <c r="F324" i="13" s="1"/>
  <c r="G498" i="13"/>
  <c r="E581" i="13"/>
  <c r="F581" i="13" s="1"/>
  <c r="D582" i="13" s="1"/>
  <c r="G234" i="13"/>
  <c r="A208" i="34"/>
  <c r="E245" i="2"/>
  <c r="E499" i="13"/>
  <c r="F499" i="13" s="1"/>
  <c r="D500" i="13" s="1"/>
  <c r="E960" i="20"/>
  <c r="F960" i="20" s="1"/>
  <c r="D961" i="20" s="1"/>
  <c r="E235" i="13"/>
  <c r="F235" i="13" s="1"/>
  <c r="D236" i="13" s="1"/>
  <c r="E601" i="20"/>
  <c r="F601" i="20" s="1"/>
  <c r="E673" i="13"/>
  <c r="F673" i="13" s="1"/>
  <c r="D674" i="13" s="1"/>
  <c r="E876" i="20"/>
  <c r="F876" i="20" s="1"/>
  <c r="E1019" i="13"/>
  <c r="F1019" i="13" s="1"/>
  <c r="D1020" i="13" s="1"/>
  <c r="E147" i="20"/>
  <c r="F147" i="20" s="1"/>
  <c r="G323" i="13"/>
  <c r="E334" i="20"/>
  <c r="F334" i="20" s="1"/>
  <c r="D335" i="20" s="1"/>
  <c r="E410" i="13"/>
  <c r="F410" i="13" s="1"/>
  <c r="D411" i="13" s="1"/>
  <c r="D877" i="20" l="1"/>
  <c r="E877" i="20" s="1"/>
  <c r="F877" i="20" s="1"/>
  <c r="G499" i="13"/>
  <c r="D148" i="20"/>
  <c r="D758" i="13"/>
  <c r="G757" i="13"/>
  <c r="D325" i="13"/>
  <c r="G324" i="13"/>
  <c r="D602" i="20"/>
  <c r="D781" i="20"/>
  <c r="E335" i="20"/>
  <c r="F335" i="20" s="1"/>
  <c r="E961" i="20"/>
  <c r="F961" i="20" s="1"/>
  <c r="E430" i="20"/>
  <c r="E431" i="20" s="1"/>
  <c r="E692" i="20"/>
  <c r="F692" i="20" s="1"/>
  <c r="E500" i="13"/>
  <c r="F500" i="13" s="1"/>
  <c r="E511" i="20"/>
  <c r="F511" i="20" s="1"/>
  <c r="E243" i="20"/>
  <c r="F243" i="20" s="1"/>
  <c r="D244" i="20" s="1"/>
  <c r="E842" i="13"/>
  <c r="F842" i="13" s="1"/>
  <c r="E411" i="13"/>
  <c r="F411" i="13" s="1"/>
  <c r="E236" i="13"/>
  <c r="F236" i="13" s="1"/>
  <c r="E246" i="2"/>
  <c r="A209" i="34"/>
  <c r="G1019" i="13"/>
  <c r="G673" i="13"/>
  <c r="G235" i="13"/>
  <c r="E142" i="13"/>
  <c r="F142" i="13" s="1"/>
  <c r="E1020" i="13"/>
  <c r="F1020" i="13" s="1"/>
  <c r="E674" i="13"/>
  <c r="F674" i="13" s="1"/>
  <c r="E582" i="13"/>
  <c r="F582" i="13" s="1"/>
  <c r="D583" i="13" s="1"/>
  <c r="G410" i="13"/>
  <c r="G581" i="13"/>
  <c r="E930" i="13"/>
  <c r="F930" i="13" s="1"/>
  <c r="E1052" i="20"/>
  <c r="F1052" i="20" s="1"/>
  <c r="F430" i="20" l="1"/>
  <c r="D1053" i="20"/>
  <c r="E1053" i="20" s="1"/>
  <c r="F1053" i="20" s="1"/>
  <c r="D878" i="20"/>
  <c r="E878" i="20" s="1"/>
  <c r="F878" i="20" s="1"/>
  <c r="D962" i="20"/>
  <c r="E962" i="20" s="1"/>
  <c r="F962" i="20" s="1"/>
  <c r="D963" i="20" s="1"/>
  <c r="D512" i="20"/>
  <c r="D1021" i="13"/>
  <c r="G1020" i="13"/>
  <c r="D931" i="13"/>
  <c r="G930" i="13"/>
  <c r="D237" i="13"/>
  <c r="G236" i="13"/>
  <c r="D501" i="13"/>
  <c r="G500" i="13"/>
  <c r="D336" i="20"/>
  <c r="D843" i="13"/>
  <c r="G842" i="13"/>
  <c r="D675" i="13"/>
  <c r="G674" i="13"/>
  <c r="D143" i="13"/>
  <c r="G142" i="13"/>
  <c r="D412" i="13"/>
  <c r="G411" i="13"/>
  <c r="D693" i="20"/>
  <c r="E781" i="20"/>
  <c r="F781" i="20" s="1"/>
  <c r="E583" i="13"/>
  <c r="F583" i="13" s="1"/>
  <c r="D584" i="13" s="1"/>
  <c r="E244" i="20"/>
  <c r="F244" i="20" s="1"/>
  <c r="D245" i="20" s="1"/>
  <c r="E758" i="13"/>
  <c r="F758" i="13" s="1"/>
  <c r="D759" i="13" s="1"/>
  <c r="A210" i="34"/>
  <c r="E247" i="2"/>
  <c r="E325" i="13"/>
  <c r="F325" i="13" s="1"/>
  <c r="E602" i="20"/>
  <c r="F602" i="20" s="1"/>
  <c r="G582" i="13"/>
  <c r="E148" i="20"/>
  <c r="F148" i="20" s="1"/>
  <c r="D149" i="20" l="1"/>
  <c r="D1054" i="20"/>
  <c r="D603" i="20"/>
  <c r="D782" i="20"/>
  <c r="D326" i="13"/>
  <c r="G325" i="13"/>
  <c r="D879" i="20"/>
  <c r="E759" i="13"/>
  <c r="F759" i="13" s="1"/>
  <c r="E245" i="20"/>
  <c r="F245" i="20" s="1"/>
  <c r="E584" i="13"/>
  <c r="F584" i="13" s="1"/>
  <c r="D585" i="13" s="1"/>
  <c r="E963" i="20"/>
  <c r="F963" i="20" s="1"/>
  <c r="E501" i="13"/>
  <c r="F501" i="13" s="1"/>
  <c r="E931" i="13"/>
  <c r="F931" i="13" s="1"/>
  <c r="G583" i="13"/>
  <c r="E412" i="13"/>
  <c r="F412" i="13" s="1"/>
  <c r="D413" i="13" s="1"/>
  <c r="E675" i="13"/>
  <c r="F675" i="13" s="1"/>
  <c r="A213" i="34"/>
  <c r="B215" i="34"/>
  <c r="E336" i="20"/>
  <c r="F336" i="20" s="1"/>
  <c r="E237" i="13"/>
  <c r="F237" i="13" s="1"/>
  <c r="E1021" i="13"/>
  <c r="F1021" i="13" s="1"/>
  <c r="G758" i="13"/>
  <c r="E693" i="20"/>
  <c r="F693" i="20" s="1"/>
  <c r="E143" i="13"/>
  <c r="F143" i="13" s="1"/>
  <c r="E843" i="13"/>
  <c r="F843" i="13" s="1"/>
  <c r="D844" i="13" s="1"/>
  <c r="E512" i="20"/>
  <c r="F512" i="20" s="1"/>
  <c r="D513" i="20" l="1"/>
  <c r="D694" i="20"/>
  <c r="D238" i="13"/>
  <c r="G237" i="13"/>
  <c r="D932" i="13"/>
  <c r="G931" i="13"/>
  <c r="D337" i="20"/>
  <c r="D676" i="13"/>
  <c r="G675" i="13"/>
  <c r="D502" i="13"/>
  <c r="G501" i="13"/>
  <c r="D246" i="20"/>
  <c r="D964" i="20"/>
  <c r="D760" i="13"/>
  <c r="G759" i="13"/>
  <c r="D144" i="13"/>
  <c r="G143" i="13"/>
  <c r="D1022" i="13"/>
  <c r="G1021" i="13"/>
  <c r="A214" i="34"/>
  <c r="D251" i="2"/>
  <c r="G412" i="13"/>
  <c r="E1054" i="20"/>
  <c r="F1054" i="20" s="1"/>
  <c r="E844" i="13"/>
  <c r="F844" i="13" s="1"/>
  <c r="D845" i="13" s="1"/>
  <c r="E413" i="13"/>
  <c r="F413" i="13" s="1"/>
  <c r="D414" i="13" s="1"/>
  <c r="E585" i="13"/>
  <c r="F585" i="13" s="1"/>
  <c r="D586" i="13" s="1"/>
  <c r="E879" i="20"/>
  <c r="F879" i="20" s="1"/>
  <c r="E603" i="20"/>
  <c r="F603" i="20" s="1"/>
  <c r="D604" i="20" s="1"/>
  <c r="G843" i="13"/>
  <c r="G584" i="13"/>
  <c r="E782" i="20"/>
  <c r="F782" i="20" s="1"/>
  <c r="D783" i="20" s="1"/>
  <c r="E326" i="13"/>
  <c r="F326" i="13" s="1"/>
  <c r="E149" i="20"/>
  <c r="F149" i="20" s="1"/>
  <c r="D150" i="20" s="1"/>
  <c r="G844" i="13" l="1"/>
  <c r="D880" i="20"/>
  <c r="E880" i="20" s="1"/>
  <c r="E881" i="20" s="1"/>
  <c r="D1055" i="20"/>
  <c r="E1055" i="20" s="1"/>
  <c r="F1055" i="20" s="1"/>
  <c r="D327" i="13"/>
  <c r="G326" i="13"/>
  <c r="G413" i="13"/>
  <c r="E1022" i="13"/>
  <c r="F1022" i="13" s="1"/>
  <c r="E760" i="13"/>
  <c r="F760" i="13" s="1"/>
  <c r="E502" i="13"/>
  <c r="F502" i="13" s="1"/>
  <c r="E694" i="20"/>
  <c r="F694" i="20" s="1"/>
  <c r="E150" i="20"/>
  <c r="F150" i="20" s="1"/>
  <c r="E783" i="20"/>
  <c r="F783" i="20" s="1"/>
  <c r="E586" i="13"/>
  <c r="F586" i="13" s="1"/>
  <c r="E414" i="13"/>
  <c r="F414" i="13" s="1"/>
  <c r="E337" i="20"/>
  <c r="F337" i="20" s="1"/>
  <c r="E238" i="13"/>
  <c r="F238" i="13" s="1"/>
  <c r="D239" i="13" s="1"/>
  <c r="G585" i="13"/>
  <c r="E845" i="13"/>
  <c r="F845" i="13" s="1"/>
  <c r="E144" i="13"/>
  <c r="F144" i="13" s="1"/>
  <c r="D145" i="13" s="1"/>
  <c r="E246" i="20"/>
  <c r="F246" i="20" s="1"/>
  <c r="E676" i="13"/>
  <c r="F676" i="13" s="1"/>
  <c r="D677" i="13" s="1"/>
  <c r="E604" i="20"/>
  <c r="F604" i="20" s="1"/>
  <c r="D605" i="20" s="1"/>
  <c r="D252" i="2"/>
  <c r="A215" i="34"/>
  <c r="E964" i="20"/>
  <c r="F964" i="20" s="1"/>
  <c r="D965" i="20" s="1"/>
  <c r="E932" i="13"/>
  <c r="F932" i="13" s="1"/>
  <c r="E513" i="20"/>
  <c r="F513" i="20" s="1"/>
  <c r="D514" i="20" s="1"/>
  <c r="F880" i="20" l="1"/>
  <c r="G676" i="13"/>
  <c r="D247" i="20"/>
  <c r="D846" i="13"/>
  <c r="G845" i="13"/>
  <c r="D415" i="13"/>
  <c r="G414" i="13"/>
  <c r="D695" i="20"/>
  <c r="D338" i="20"/>
  <c r="D587" i="13"/>
  <c r="G586" i="13"/>
  <c r="D761" i="13"/>
  <c r="G760" i="13"/>
  <c r="D784" i="20"/>
  <c r="D1023" i="13"/>
  <c r="G1022" i="13"/>
  <c r="D933" i="13"/>
  <c r="G932" i="13"/>
  <c r="D1056" i="20"/>
  <c r="D151" i="20"/>
  <c r="D503" i="13"/>
  <c r="G502" i="13"/>
  <c r="E514" i="20"/>
  <c r="F514" i="20" s="1"/>
  <c r="A216" i="34"/>
  <c r="B220" i="34" s="1"/>
  <c r="D253" i="2"/>
  <c r="G144" i="13"/>
  <c r="G238" i="13"/>
  <c r="E965" i="20"/>
  <c r="F965" i="20" s="1"/>
  <c r="E145" i="13"/>
  <c r="F145" i="13" s="1"/>
  <c r="D146" i="13" s="1"/>
  <c r="E239" i="13"/>
  <c r="F239" i="13" s="1"/>
  <c r="D240" i="13" s="1"/>
  <c r="E605" i="20"/>
  <c r="F605" i="20" s="1"/>
  <c r="D606" i="20" s="1"/>
  <c r="E677" i="13"/>
  <c r="F677" i="13" s="1"/>
  <c r="E327" i="13"/>
  <c r="F327" i="13" s="1"/>
  <c r="D515" i="20" l="1"/>
  <c r="E515" i="20" s="1"/>
  <c r="F515" i="20" s="1"/>
  <c r="D328" i="13"/>
  <c r="E328" i="13" s="1"/>
  <c r="F328" i="13" s="1"/>
  <c r="G327" i="13"/>
  <c r="D678" i="13"/>
  <c r="G677" i="13"/>
  <c r="D966" i="20"/>
  <c r="G239" i="13"/>
  <c r="E146" i="13"/>
  <c r="F146" i="13" s="1"/>
  <c r="E784" i="20"/>
  <c r="F784" i="20" s="1"/>
  <c r="E587" i="13"/>
  <c r="F587" i="13" s="1"/>
  <c r="E415" i="13"/>
  <c r="F415" i="13" s="1"/>
  <c r="D254" i="2"/>
  <c r="A218" i="34"/>
  <c r="B218" i="34"/>
  <c r="B219" i="34"/>
  <c r="E1056" i="20"/>
  <c r="F1056" i="20" s="1"/>
  <c r="E1023" i="13"/>
  <c r="F1023" i="13" s="1"/>
  <c r="D1024" i="13" s="1"/>
  <c r="E247" i="20"/>
  <c r="F247" i="20" s="1"/>
  <c r="G145" i="13"/>
  <c r="E151" i="20"/>
  <c r="F151" i="20" s="1"/>
  <c r="E761" i="13"/>
  <c r="F761" i="13" s="1"/>
  <c r="E695" i="20"/>
  <c r="F695" i="20" s="1"/>
  <c r="E846" i="13"/>
  <c r="F846" i="13" s="1"/>
  <c r="E606" i="20"/>
  <c r="F606" i="20" s="1"/>
  <c r="E240" i="13"/>
  <c r="F240" i="13" s="1"/>
  <c r="D241" i="13" s="1"/>
  <c r="E503" i="13"/>
  <c r="F503" i="13" s="1"/>
  <c r="D504" i="13" s="1"/>
  <c r="E933" i="13"/>
  <c r="F933" i="13" s="1"/>
  <c r="E338" i="20"/>
  <c r="F338" i="20" s="1"/>
  <c r="D696" i="20" l="1"/>
  <c r="E696" i="20" s="1"/>
  <c r="F696" i="20" s="1"/>
  <c r="D697" i="20" s="1"/>
  <c r="D248" i="20"/>
  <c r="E248" i="20" s="1"/>
  <c r="F248" i="20" s="1"/>
  <c r="D588" i="13"/>
  <c r="E588" i="13" s="1"/>
  <c r="F588" i="13" s="1"/>
  <c r="G587" i="13"/>
  <c r="D934" i="13"/>
  <c r="E934" i="13" s="1"/>
  <c r="F934" i="13" s="1"/>
  <c r="G933" i="13"/>
  <c r="G240" i="13"/>
  <c r="G1023" i="13"/>
  <c r="D607" i="20"/>
  <c r="D762" i="13"/>
  <c r="G761" i="13"/>
  <c r="D147" i="13"/>
  <c r="G146" i="13"/>
  <c r="D339" i="20"/>
  <c r="D1057" i="20"/>
  <c r="D329" i="13"/>
  <c r="G328" i="13"/>
  <c r="D847" i="13"/>
  <c r="G846" i="13"/>
  <c r="D152" i="20"/>
  <c r="D416" i="13"/>
  <c r="G415" i="13"/>
  <c r="D785" i="20"/>
  <c r="D516" i="20"/>
  <c r="E504" i="13"/>
  <c r="F504" i="13" s="1"/>
  <c r="E241" i="13"/>
  <c r="F241" i="13" s="1"/>
  <c r="E1024" i="13"/>
  <c r="F1024" i="13" s="1"/>
  <c r="E966" i="20"/>
  <c r="F966" i="20" s="1"/>
  <c r="D967" i="20" s="1"/>
  <c r="G503" i="13"/>
  <c r="A219" i="34"/>
  <c r="E678" i="13"/>
  <c r="F678" i="13" s="1"/>
  <c r="D1025" i="13" l="1"/>
  <c r="G1024" i="13"/>
  <c r="D935" i="13"/>
  <c r="G934" i="13"/>
  <c r="D679" i="13"/>
  <c r="G678" i="13"/>
  <c r="D249" i="20"/>
  <c r="D242" i="13"/>
  <c r="G241" i="13"/>
  <c r="D589" i="13"/>
  <c r="G588" i="13"/>
  <c r="D505" i="13"/>
  <c r="G504" i="13"/>
  <c r="E967" i="20"/>
  <c r="F967" i="20" s="1"/>
  <c r="E697" i="20"/>
  <c r="F697" i="20" s="1"/>
  <c r="E847" i="13"/>
  <c r="F847" i="13" s="1"/>
  <c r="E339" i="20"/>
  <c r="F339" i="20" s="1"/>
  <c r="E762" i="13"/>
  <c r="F762" i="13" s="1"/>
  <c r="A220" i="34"/>
  <c r="E785" i="20"/>
  <c r="F785" i="20" s="1"/>
  <c r="E1057" i="20"/>
  <c r="F1057" i="20" s="1"/>
  <c r="E516" i="20"/>
  <c r="F516" i="20" s="1"/>
  <c r="E152" i="20"/>
  <c r="F152" i="20" s="1"/>
  <c r="E329" i="13"/>
  <c r="F329" i="13" s="1"/>
  <c r="E147" i="13"/>
  <c r="F147" i="13" s="1"/>
  <c r="D148" i="13" s="1"/>
  <c r="E416" i="13"/>
  <c r="F416" i="13" s="1"/>
  <c r="E607" i="20"/>
  <c r="F607" i="20" s="1"/>
  <c r="D698" i="20" l="1"/>
  <c r="E698" i="20" s="1"/>
  <c r="F698" i="20" s="1"/>
  <c r="D699" i="20" s="1"/>
  <c r="D153" i="20"/>
  <c r="E153" i="20" s="1"/>
  <c r="F153" i="20" s="1"/>
  <c r="D417" i="13"/>
  <c r="G416" i="13"/>
  <c r="D763" i="13"/>
  <c r="G762" i="13"/>
  <c r="D517" i="20"/>
  <c r="D340" i="20"/>
  <c r="D786" i="20"/>
  <c r="D608" i="20"/>
  <c r="D330" i="13"/>
  <c r="G329" i="13"/>
  <c r="D1058" i="20"/>
  <c r="D848" i="13"/>
  <c r="G847" i="13"/>
  <c r="D968" i="20"/>
  <c r="E148" i="13"/>
  <c r="F148" i="13" s="1"/>
  <c r="E589" i="13"/>
  <c r="F589" i="13" s="1"/>
  <c r="G147" i="13"/>
  <c r="E249" i="20"/>
  <c r="F249" i="20" s="1"/>
  <c r="E935" i="13"/>
  <c r="F935" i="13" s="1"/>
  <c r="E505" i="13"/>
  <c r="F505" i="13" s="1"/>
  <c r="E242" i="13"/>
  <c r="F242" i="13" s="1"/>
  <c r="A222" i="34"/>
  <c r="A224" i="34" s="1"/>
  <c r="A225" i="34" s="1"/>
  <c r="A226" i="34" s="1"/>
  <c r="A229" i="34" s="1"/>
  <c r="E679" i="13"/>
  <c r="F679" i="13" s="1"/>
  <c r="E1025" i="13"/>
  <c r="F1025" i="13" s="1"/>
  <c r="D250" i="20" l="1"/>
  <c r="E250" i="20" s="1"/>
  <c r="E251" i="20" s="1"/>
  <c r="D243" i="13"/>
  <c r="E243" i="13" s="1"/>
  <c r="F243" i="13" s="1"/>
  <c r="G242" i="13"/>
  <c r="D680" i="13"/>
  <c r="G679" i="13"/>
  <c r="D154" i="20"/>
  <c r="D506" i="13"/>
  <c r="G505" i="13"/>
  <c r="D149" i="13"/>
  <c r="G148" i="13"/>
  <c r="D590" i="13"/>
  <c r="G589" i="13"/>
  <c r="D1026" i="13"/>
  <c r="G1025" i="13"/>
  <c r="D936" i="13"/>
  <c r="G935" i="13"/>
  <c r="E699" i="20"/>
  <c r="F699" i="20" s="1"/>
  <c r="E968" i="20"/>
  <c r="F968" i="20" s="1"/>
  <c r="E340" i="20"/>
  <c r="E341" i="20" s="1"/>
  <c r="E1058" i="20"/>
  <c r="F1058" i="20" s="1"/>
  <c r="D1059" i="20" s="1"/>
  <c r="E786" i="20"/>
  <c r="F786" i="20" s="1"/>
  <c r="D787" i="20" s="1"/>
  <c r="E763" i="13"/>
  <c r="F763" i="13" s="1"/>
  <c r="D764" i="13" s="1"/>
  <c r="A230" i="34"/>
  <c r="B234" i="34"/>
  <c r="E848" i="13"/>
  <c r="F848" i="13" s="1"/>
  <c r="E608" i="20"/>
  <c r="F608" i="20" s="1"/>
  <c r="E330" i="13"/>
  <c r="F330" i="13" s="1"/>
  <c r="E517" i="20"/>
  <c r="F517" i="20" s="1"/>
  <c r="E417" i="13"/>
  <c r="F417" i="13" s="1"/>
  <c r="D418" i="13" s="1"/>
  <c r="D700" i="20" l="1"/>
  <c r="E700" i="20" s="1"/>
  <c r="E701" i="20" s="1"/>
  <c r="D609" i="20"/>
  <c r="E609" i="20" s="1"/>
  <c r="F609" i="20" s="1"/>
  <c r="D610" i="20" s="1"/>
  <c r="D244" i="13"/>
  <c r="E244" i="13" s="1"/>
  <c r="F244" i="13" s="1"/>
  <c r="G243" i="13"/>
  <c r="F250" i="20"/>
  <c r="D518" i="20"/>
  <c r="D331" i="13"/>
  <c r="G330" i="13"/>
  <c r="D969" i="20"/>
  <c r="D849" i="13"/>
  <c r="G848" i="13"/>
  <c r="A231" i="34"/>
  <c r="B235" i="34"/>
  <c r="E1026" i="13"/>
  <c r="F1026" i="13" s="1"/>
  <c r="E149" i="13"/>
  <c r="F149" i="13" s="1"/>
  <c r="G763" i="13"/>
  <c r="E154" i="20"/>
  <c r="F154" i="20" s="1"/>
  <c r="G417" i="13"/>
  <c r="E764" i="13"/>
  <c r="F764" i="13" s="1"/>
  <c r="E787" i="20"/>
  <c r="F787" i="20" s="1"/>
  <c r="E1059" i="20"/>
  <c r="F1059" i="20" s="1"/>
  <c r="E936" i="13"/>
  <c r="F936" i="13" s="1"/>
  <c r="E590" i="13"/>
  <c r="F590" i="13" s="1"/>
  <c r="E506" i="13"/>
  <c r="E507" i="13" s="1"/>
  <c r="E418" i="13"/>
  <c r="F418" i="13" s="1"/>
  <c r="D419" i="13" s="1"/>
  <c r="F340" i="20"/>
  <c r="E680" i="13"/>
  <c r="E681" i="13" s="1"/>
  <c r="D150" i="13" l="1"/>
  <c r="E150" i="13" s="1"/>
  <c r="F150" i="13" s="1"/>
  <c r="D151" i="13" s="1"/>
  <c r="G149" i="13"/>
  <c r="D937" i="13"/>
  <c r="G936" i="13"/>
  <c r="D1060" i="20"/>
  <c r="D155" i="20"/>
  <c r="D788" i="20"/>
  <c r="D1027" i="13"/>
  <c r="G1026" i="13"/>
  <c r="D591" i="13"/>
  <c r="G590" i="13"/>
  <c r="D765" i="13"/>
  <c r="G764" i="13"/>
  <c r="D245" i="13"/>
  <c r="G244" i="13"/>
  <c r="F680" i="13"/>
  <c r="G680" i="13" s="1"/>
  <c r="G418" i="13"/>
  <c r="A234" i="34"/>
  <c r="A235" i="34" s="1"/>
  <c r="A236" i="34" s="1"/>
  <c r="A237" i="34" s="1"/>
  <c r="B236" i="34"/>
  <c r="E331" i="13"/>
  <c r="F331" i="13" s="1"/>
  <c r="E419" i="13"/>
  <c r="E420" i="13" s="1"/>
  <c r="E610" i="20"/>
  <c r="E611" i="20" s="1"/>
  <c r="F506" i="13"/>
  <c r="G506" i="13" s="1"/>
  <c r="F700" i="20"/>
  <c r="E969" i="20"/>
  <c r="F969" i="20" s="1"/>
  <c r="D970" i="20" s="1"/>
  <c r="E849" i="13"/>
  <c r="F849" i="13" s="1"/>
  <c r="E518" i="20"/>
  <c r="F518" i="20" s="1"/>
  <c r="D519" i="20" s="1"/>
  <c r="F419" i="13" l="1"/>
  <c r="G419" i="13" s="1"/>
  <c r="F610" i="20"/>
  <c r="D332" i="13"/>
  <c r="G331" i="13"/>
  <c r="D850" i="13"/>
  <c r="G849" i="13"/>
  <c r="E519" i="20"/>
  <c r="F519" i="20" s="1"/>
  <c r="D520" i="20" s="1"/>
  <c r="E970" i="20"/>
  <c r="E971" i="20" s="1"/>
  <c r="E151" i="13"/>
  <c r="F151" i="13" s="1"/>
  <c r="E765" i="13"/>
  <c r="F765" i="13" s="1"/>
  <c r="E1027" i="13"/>
  <c r="F1027" i="13" s="1"/>
  <c r="E1060" i="20"/>
  <c r="E1061" i="20" s="1"/>
  <c r="E245" i="13"/>
  <c r="E246" i="13" s="1"/>
  <c r="E591" i="13"/>
  <c r="F591" i="13" s="1"/>
  <c r="D592" i="13" s="1"/>
  <c r="E155" i="20"/>
  <c r="F155" i="20" s="1"/>
  <c r="G150" i="13"/>
  <c r="E788" i="20"/>
  <c r="F788" i="20" s="1"/>
  <c r="D789" i="20" s="1"/>
  <c r="E937" i="13"/>
  <c r="F937" i="13" s="1"/>
  <c r="D938" i="13" s="1"/>
  <c r="D1028" i="13" l="1"/>
  <c r="E1028" i="13" s="1"/>
  <c r="E1029" i="13" s="1"/>
  <c r="G1027" i="13"/>
  <c r="F245" i="13"/>
  <c r="G245" i="13" s="1"/>
  <c r="F1060" i="20"/>
  <c r="D156" i="20"/>
  <c r="D152" i="13"/>
  <c r="G151" i="13"/>
  <c r="D766" i="13"/>
  <c r="G765" i="13"/>
  <c r="G591" i="13"/>
  <c r="E520" i="20"/>
  <c r="E521" i="20" s="1"/>
  <c r="G937" i="13"/>
  <c r="F970" i="20"/>
  <c r="E850" i="13"/>
  <c r="F850" i="13" s="1"/>
  <c r="E938" i="13"/>
  <c r="F938" i="13" s="1"/>
  <c r="D939" i="13" s="1"/>
  <c r="E789" i="20"/>
  <c r="F789" i="20" s="1"/>
  <c r="E592" i="13"/>
  <c r="F592" i="13" s="1"/>
  <c r="E332" i="13"/>
  <c r="E333" i="13" s="1"/>
  <c r="F332" i="13" l="1"/>
  <c r="G332" i="13" s="1"/>
  <c r="D790" i="20"/>
  <c r="E790" i="20" s="1"/>
  <c r="E791" i="20" s="1"/>
  <c r="G938" i="13"/>
  <c r="D593" i="13"/>
  <c r="G592" i="13"/>
  <c r="D851" i="13"/>
  <c r="G850" i="13"/>
  <c r="E152" i="13"/>
  <c r="F152" i="13" s="1"/>
  <c r="F1028" i="13"/>
  <c r="G1028" i="13" s="1"/>
  <c r="F520" i="20"/>
  <c r="E156" i="20"/>
  <c r="F156" i="20" s="1"/>
  <c r="E766" i="13"/>
  <c r="F766" i="13" s="1"/>
  <c r="E939" i="13"/>
  <c r="F939" i="13" s="1"/>
  <c r="D940" i="13" l="1"/>
  <c r="G939" i="13"/>
  <c r="D767" i="13"/>
  <c r="G766" i="13"/>
  <c r="D157" i="20"/>
  <c r="D153" i="13"/>
  <c r="G152" i="13"/>
  <c r="E851" i="13"/>
  <c r="F851" i="13" s="1"/>
  <c r="F790" i="20"/>
  <c r="E593" i="13"/>
  <c r="E594" i="13" s="1"/>
  <c r="F593" i="13" l="1"/>
  <c r="G593" i="13" s="1"/>
  <c r="D852" i="13"/>
  <c r="G851" i="13"/>
  <c r="E153" i="13"/>
  <c r="F153" i="13" s="1"/>
  <c r="D154" i="13" s="1"/>
  <c r="E767" i="13"/>
  <c r="E768" i="13" s="1"/>
  <c r="E157" i="20"/>
  <c r="F157" i="20" s="1"/>
  <c r="E940" i="13"/>
  <c r="F940" i="13" s="1"/>
  <c r="F767" i="13" l="1"/>
  <c r="G767" i="13" s="1"/>
  <c r="D941" i="13"/>
  <c r="G940" i="13"/>
  <c r="D158" i="20"/>
  <c r="E154" i="13"/>
  <c r="F154" i="13" s="1"/>
  <c r="G153" i="13"/>
  <c r="E852" i="13"/>
  <c r="F852" i="13" s="1"/>
  <c r="D853" i="13" l="1"/>
  <c r="G852" i="13"/>
  <c r="D155" i="13"/>
  <c r="G154" i="13"/>
  <c r="E158" i="20"/>
  <c r="F158" i="20" s="1"/>
  <c r="E941" i="13"/>
  <c r="E942" i="13" s="1"/>
  <c r="D159" i="20" l="1"/>
  <c r="E159" i="20" s="1"/>
  <c r="F159" i="20" s="1"/>
  <c r="F941" i="13"/>
  <c r="G941" i="13" s="1"/>
  <c r="E155" i="13"/>
  <c r="F155" i="13" s="1"/>
  <c r="D156" i="13" s="1"/>
  <c r="E853" i="13"/>
  <c r="F853" i="13" s="1"/>
  <c r="D854" i="13" s="1"/>
  <c r="D160" i="20" l="1"/>
  <c r="G155" i="13"/>
  <c r="G853" i="13"/>
  <c r="E854" i="13"/>
  <c r="E855" i="13" s="1"/>
  <c r="E156" i="13"/>
  <c r="F156" i="13" s="1"/>
  <c r="D157" i="13" s="1"/>
  <c r="E157" i="13" l="1"/>
  <c r="F157" i="13" s="1"/>
  <c r="D158" i="13" s="1"/>
  <c r="G156" i="13"/>
  <c r="F854" i="13"/>
  <c r="G854" i="13" s="1"/>
  <c r="E160" i="20"/>
  <c r="E161" i="20" s="1"/>
  <c r="E158" i="13" l="1"/>
  <c r="F158" i="13" s="1"/>
  <c r="D159" i="13" s="1"/>
  <c r="G157" i="13"/>
  <c r="F160" i="20"/>
  <c r="E159" i="13" l="1"/>
  <c r="E160" i="13" s="1"/>
  <c r="G158" i="13"/>
  <c r="F159" i="13" l="1"/>
  <c r="G159" i="13" s="1"/>
  <c r="D27" i="37" l="1"/>
  <c r="J27" i="37"/>
  <c r="J36" i="37" s="1"/>
  <c r="R36" i="37"/>
  <c r="E41" i="5" l="1"/>
  <c r="G27" i="37"/>
  <c r="F28" i="37"/>
  <c r="E43" i="5"/>
  <c r="I43" i="5" s="1"/>
  <c r="F36" i="37" l="1"/>
  <c r="D28" i="37"/>
  <c r="I41" i="5"/>
  <c r="E44" i="5"/>
  <c r="G28" i="37" l="1"/>
  <c r="G36" i="37" s="1"/>
  <c r="D36" i="37"/>
  <c r="G89" i="2"/>
  <c r="G91" i="2" s="1"/>
  <c r="G112" i="2" s="1"/>
  <c r="G183" i="2" s="1"/>
  <c r="G177" i="2" s="1"/>
  <c r="G181" i="2" s="1"/>
  <c r="G191" i="2" s="1"/>
  <c r="I44" i="5"/>
  <c r="L89" i="2" s="1"/>
  <c r="L91" i="2" l="1"/>
  <c r="L112" i="2" s="1"/>
  <c r="L183" i="2" s="1"/>
  <c r="E28" i="13"/>
  <c r="E30" i="13" s="1"/>
  <c r="F28" i="20"/>
  <c r="F30" i="20" s="1"/>
  <c r="G56" i="20" l="1"/>
  <c r="F34" i="20"/>
  <c r="F36" i="20" s="1"/>
  <c r="F40" i="20" s="1"/>
  <c r="G49" i="20"/>
  <c r="L177" i="2"/>
  <c r="F49" i="13"/>
  <c r="F56" i="13"/>
  <c r="E34" i="13"/>
  <c r="E36" i="13" s="1"/>
  <c r="E40" i="13" s="1"/>
  <c r="F57" i="13" s="1"/>
  <c r="L181" i="2" l="1"/>
  <c r="F50" i="13" s="1"/>
  <c r="G50" i="20"/>
  <c r="G57" i="20"/>
  <c r="L191" i="2" l="1"/>
  <c r="L13" i="2" s="1"/>
  <c r="G47" i="20"/>
  <c r="G51" i="20" s="1"/>
  <c r="G55" i="20" s="1"/>
  <c r="G58" i="20" s="1"/>
  <c r="F47" i="13"/>
  <c r="F51" i="13" s="1"/>
  <c r="F55" i="13" s="1"/>
  <c r="F58" i="13" s="1"/>
  <c r="L34" i="2"/>
  <c r="L31" i="2"/>
  <c r="L27" i="2"/>
  <c r="L18" i="2"/>
  <c r="L28" i="2" l="1"/>
  <c r="F70" i="13"/>
  <c r="G70" i="20"/>
  <c r="F65" i="13"/>
  <c r="F66" i="13" s="1"/>
  <c r="F60" i="13"/>
  <c r="F68" i="13" s="1"/>
  <c r="F69" i="13" s="1"/>
  <c r="G60" i="20"/>
  <c r="G68" i="20" s="1"/>
  <c r="G69" i="20" s="1"/>
  <c r="G65" i="20"/>
  <c r="G66" i="20" s="1"/>
  <c r="G71" i="20" l="1"/>
  <c r="F71" i="13"/>
  <c r="I906" i="20"/>
  <c r="I907" i="20" s="1"/>
  <c r="I816" i="20"/>
  <c r="I817" i="20" s="1"/>
  <c r="I186" i="20"/>
  <c r="I187" i="20" s="1"/>
  <c r="I996" i="20"/>
  <c r="I997" i="20" s="1"/>
  <c r="I366" i="20"/>
  <c r="I367" i="20" s="1"/>
  <c r="I276" i="20"/>
  <c r="I277" i="20" s="1"/>
  <c r="I726" i="20"/>
  <c r="I727" i="20" s="1"/>
  <c r="I96" i="20"/>
  <c r="I456" i="20"/>
  <c r="I457" i="20" s="1"/>
  <c r="I546" i="20"/>
  <c r="I547" i="20" s="1"/>
  <c r="I636" i="20"/>
  <c r="I637" i="20" s="1"/>
  <c r="J616" i="13"/>
  <c r="J442" i="13"/>
  <c r="J964" i="13"/>
  <c r="J268" i="13"/>
  <c r="J95" i="13"/>
  <c r="J790" i="13"/>
  <c r="J355" i="13"/>
  <c r="J529" i="13"/>
  <c r="J703" i="13"/>
  <c r="J877" i="13"/>
  <c r="J181" i="13"/>
  <c r="H138" i="13" l="1"/>
  <c r="H139" i="13"/>
  <c r="H140" i="13"/>
  <c r="H141" i="13"/>
  <c r="H142" i="13"/>
  <c r="H143" i="13"/>
  <c r="H144" i="13"/>
  <c r="H153" i="13"/>
  <c r="H146" i="13"/>
  <c r="H147" i="13"/>
  <c r="H148" i="13"/>
  <c r="H149" i="13"/>
  <c r="H150" i="13"/>
  <c r="H151" i="13"/>
  <c r="H152" i="13"/>
  <c r="H154" i="13"/>
  <c r="H155" i="13"/>
  <c r="H156" i="13"/>
  <c r="H157" i="13"/>
  <c r="H158" i="13"/>
  <c r="H159" i="13"/>
  <c r="H105" i="13"/>
  <c r="M105" i="13" s="1"/>
  <c r="H100" i="13"/>
  <c r="H103" i="13"/>
  <c r="M103" i="13" s="1"/>
  <c r="J96" i="13"/>
  <c r="H101" i="13"/>
  <c r="M101" i="13" s="1"/>
  <c r="H102" i="13"/>
  <c r="M102" i="13" s="1"/>
  <c r="H104" i="13"/>
  <c r="M104" i="13" s="1"/>
  <c r="H113" i="13"/>
  <c r="H106" i="13"/>
  <c r="M106" i="13" s="1"/>
  <c r="H107" i="13"/>
  <c r="M107" i="13" s="1"/>
  <c r="H108" i="13"/>
  <c r="H109" i="13"/>
  <c r="H110" i="13"/>
  <c r="H111" i="13"/>
  <c r="H112" i="13"/>
  <c r="H121" i="13"/>
  <c r="H114" i="13"/>
  <c r="H115" i="13"/>
  <c r="H116" i="13"/>
  <c r="H117" i="13"/>
  <c r="H118" i="13"/>
  <c r="H119" i="13"/>
  <c r="H120" i="13"/>
  <c r="H129" i="13"/>
  <c r="H130" i="13"/>
  <c r="H131" i="13"/>
  <c r="H132" i="13"/>
  <c r="H133" i="13"/>
  <c r="H134" i="13"/>
  <c r="H135" i="13"/>
  <c r="H136" i="13"/>
  <c r="H145" i="13"/>
  <c r="H124" i="13"/>
  <c r="H125" i="13"/>
  <c r="H126" i="13"/>
  <c r="H127" i="13"/>
  <c r="H128" i="13"/>
  <c r="H137" i="13"/>
  <c r="H123" i="13"/>
  <c r="H122" i="13"/>
  <c r="G556" i="20"/>
  <c r="G831" i="20"/>
  <c r="G656" i="20"/>
  <c r="G481" i="20"/>
  <c r="G668" i="20"/>
  <c r="G554" i="20"/>
  <c r="G736" i="20"/>
  <c r="G193" i="20"/>
  <c r="G922" i="20"/>
  <c r="G658" i="20"/>
  <c r="G574" i="20"/>
  <c r="G824" i="20"/>
  <c r="G647" i="20"/>
  <c r="G923" i="20"/>
  <c r="G568" i="20"/>
  <c r="G575" i="20"/>
  <c r="G914" i="20"/>
  <c r="G109" i="20"/>
  <c r="N88" i="20" s="1"/>
  <c r="G743" i="20"/>
  <c r="G301" i="20"/>
  <c r="G124" i="20"/>
  <c r="G281" i="20"/>
  <c r="G919" i="20"/>
  <c r="G655" i="20"/>
  <c r="G1020" i="20"/>
  <c r="G1028" i="20"/>
  <c r="G732" i="20"/>
  <c r="G912" i="20"/>
  <c r="G558" i="20"/>
  <c r="N538" i="20" s="1"/>
  <c r="G654" i="20"/>
  <c r="G120" i="20"/>
  <c r="G735" i="20"/>
  <c r="G920" i="20"/>
  <c r="G838" i="20"/>
  <c r="G303" i="20"/>
  <c r="G487" i="20"/>
  <c r="G644" i="20"/>
  <c r="G641" i="20"/>
  <c r="G467" i="20"/>
  <c r="G1013" i="20"/>
  <c r="G841" i="20"/>
  <c r="G214" i="20"/>
  <c r="G101" i="20"/>
  <c r="G738" i="20"/>
  <c r="N718" i="20" s="1"/>
  <c r="G115" i="20"/>
  <c r="G1019" i="20"/>
  <c r="G398" i="20"/>
  <c r="G552" i="20"/>
  <c r="G830" i="20"/>
  <c r="G296" i="20"/>
  <c r="G843" i="20"/>
  <c r="G216" i="20"/>
  <c r="G283" i="20"/>
  <c r="G111" i="20"/>
  <c r="G744" i="20"/>
  <c r="G844" i="20"/>
  <c r="G667" i="20"/>
  <c r="G286" i="20"/>
  <c r="G1002" i="20"/>
  <c r="G739" i="20"/>
  <c r="G116" i="20"/>
  <c r="G480" i="20"/>
  <c r="G462" i="20"/>
  <c r="G921" i="20"/>
  <c r="G657" i="20"/>
  <c r="G845" i="20"/>
  <c r="G106" i="20"/>
  <c r="G105" i="20"/>
  <c r="G555" i="20"/>
  <c r="G648" i="20"/>
  <c r="N628" i="20" s="1"/>
  <c r="G385" i="20"/>
  <c r="G569" i="20"/>
  <c r="G484" i="20"/>
  <c r="G1003" i="20"/>
  <c r="G289" i="20"/>
  <c r="N268" i="20" s="1"/>
  <c r="G836" i="20"/>
  <c r="G750" i="20"/>
  <c r="G755" i="20"/>
  <c r="G465" i="20"/>
  <c r="G470" i="20"/>
  <c r="G564" i="20"/>
  <c r="G571" i="20"/>
  <c r="G935" i="20"/>
  <c r="G196" i="20"/>
  <c r="G471" i="20"/>
  <c r="G117" i="20"/>
  <c r="G393" i="20"/>
  <c r="G850" i="20"/>
  <c r="G643" i="20"/>
  <c r="G461" i="20"/>
  <c r="G1010" i="20"/>
  <c r="G387" i="20"/>
  <c r="G1021" i="20"/>
  <c r="G825" i="20"/>
  <c r="G553" i="20"/>
  <c r="G833" i="20"/>
  <c r="G299" i="20"/>
  <c r="G213" i="20"/>
  <c r="G463" i="20"/>
  <c r="G557" i="20"/>
  <c r="G372" i="20"/>
  <c r="G198" i="20"/>
  <c r="G1014" i="20"/>
  <c r="G570" i="20"/>
  <c r="G666" i="20"/>
  <c r="G646" i="20"/>
  <c r="G380" i="20"/>
  <c r="G1015" i="20"/>
  <c r="I97" i="20"/>
  <c r="G197" i="20"/>
  <c r="G114" i="20"/>
  <c r="G119" i="20"/>
  <c r="G846" i="20"/>
  <c r="G642" i="20"/>
  <c r="G379" i="20"/>
  <c r="G645" i="20"/>
  <c r="G559" i="20"/>
  <c r="G386" i="20"/>
  <c r="G662" i="20"/>
  <c r="G309" i="20"/>
  <c r="G1006" i="20"/>
  <c r="N988" i="20" s="1"/>
  <c r="G381" i="20"/>
  <c r="G1016" i="20"/>
  <c r="G482" i="20"/>
  <c r="G126" i="20"/>
  <c r="G287" i="20"/>
  <c r="G292" i="20"/>
  <c r="G927" i="20"/>
  <c r="G395" i="20"/>
  <c r="G578" i="20"/>
  <c r="G551" i="20"/>
  <c r="G383" i="20"/>
  <c r="G567" i="20"/>
  <c r="G752" i="20"/>
  <c r="G822" i="20"/>
  <c r="G917" i="20"/>
  <c r="N898" i="20" s="1"/>
  <c r="G827" i="20"/>
  <c r="G651" i="20"/>
  <c r="G477" i="20"/>
  <c r="G304" i="20"/>
  <c r="G821" i="20"/>
  <c r="G737" i="20"/>
  <c r="G474" i="20"/>
  <c r="G209" i="20"/>
  <c r="G306" i="20"/>
  <c r="G377" i="20"/>
  <c r="G1009" i="20"/>
  <c r="G911" i="20"/>
  <c r="G290" i="20"/>
  <c r="G837" i="20"/>
  <c r="G931" i="20"/>
  <c r="G310" i="20"/>
  <c r="G916" i="20"/>
  <c r="G112" i="20"/>
  <c r="G746" i="20"/>
  <c r="G122" i="20"/>
  <c r="G936" i="20"/>
  <c r="G107" i="20"/>
  <c r="G293" i="20"/>
  <c r="G1017" i="20"/>
  <c r="G483" i="20"/>
  <c r="G374" i="20"/>
  <c r="G1005" i="20"/>
  <c r="G652" i="20"/>
  <c r="G208" i="20"/>
  <c r="G933" i="20"/>
  <c r="G823" i="20"/>
  <c r="G103" i="20"/>
  <c r="G102" i="20"/>
  <c r="G741" i="20"/>
  <c r="G840" i="20"/>
  <c r="G123" i="20"/>
  <c r="G282" i="20"/>
  <c r="G649" i="20"/>
  <c r="G297" i="20"/>
  <c r="G121" i="20"/>
  <c r="G849" i="20"/>
  <c r="G195" i="20"/>
  <c r="G199" i="20"/>
  <c r="N178" i="20" s="1"/>
  <c r="G464" i="20"/>
  <c r="G1012" i="20"/>
  <c r="G747" i="20"/>
  <c r="G1023" i="20"/>
  <c r="G191" i="20"/>
  <c r="G466" i="20"/>
  <c r="G473" i="20"/>
  <c r="G748" i="20"/>
  <c r="G397" i="20"/>
  <c r="G192" i="20"/>
  <c r="G828" i="20"/>
  <c r="G742" i="20"/>
  <c r="G479" i="20"/>
  <c r="G665" i="20"/>
  <c r="G826" i="20"/>
  <c r="G918" i="20"/>
  <c r="G563" i="20"/>
  <c r="G391" i="20"/>
  <c r="G399" i="20"/>
  <c r="G1004" i="20"/>
  <c r="G284" i="20"/>
  <c r="G288" i="20"/>
  <c r="G203" i="20"/>
  <c r="G749" i="20"/>
  <c r="G215" i="20"/>
  <c r="G929" i="20"/>
  <c r="G311" i="20"/>
  <c r="G1001" i="20"/>
  <c r="G486" i="20"/>
  <c r="G573" i="20"/>
  <c r="G560" i="20"/>
  <c r="G401" i="20"/>
  <c r="G396" i="20"/>
  <c r="G408" i="20"/>
  <c r="G766" i="20"/>
  <c r="G868" i="20"/>
  <c r="G333" i="20"/>
  <c r="G696" i="20"/>
  <c r="G475" i="20"/>
  <c r="G940" i="20"/>
  <c r="G228" i="20"/>
  <c r="G592" i="20"/>
  <c r="G957" i="20"/>
  <c r="G879" i="20"/>
  <c r="G159" i="20"/>
  <c r="G669" i="20"/>
  <c r="G762" i="20"/>
  <c r="G1040" i="20"/>
  <c r="G870" i="20"/>
  <c r="G1052" i="20"/>
  <c r="G699" i="20"/>
  <c r="G930" i="20"/>
  <c r="G760" i="20"/>
  <c r="G497" i="20"/>
  <c r="G772" i="20"/>
  <c r="G332" i="20"/>
  <c r="G515" i="20"/>
  <c r="G565" i="20"/>
  <c r="G405" i="20"/>
  <c r="G945" i="20"/>
  <c r="G593" i="20"/>
  <c r="G1048" i="20"/>
  <c r="G964" i="20"/>
  <c r="G740" i="20"/>
  <c r="G313" i="20"/>
  <c r="G858" i="20"/>
  <c r="G137" i="20"/>
  <c r="G330" i="20"/>
  <c r="G244" i="20"/>
  <c r="G155" i="20"/>
  <c r="G851" i="20"/>
  <c r="G410" i="20"/>
  <c r="G324" i="20"/>
  <c r="G773" i="20"/>
  <c r="G780" i="20"/>
  <c r="G608" i="20"/>
  <c r="G394" i="20"/>
  <c r="G673" i="20"/>
  <c r="G589" i="20"/>
  <c r="G1044" i="20"/>
  <c r="G509" i="20"/>
  <c r="G784" i="20"/>
  <c r="G934" i="20"/>
  <c r="G194" i="20"/>
  <c r="G285" i="20"/>
  <c r="G376" i="20"/>
  <c r="G848" i="20"/>
  <c r="G202" i="20"/>
  <c r="G756" i="20"/>
  <c r="G576" i="20"/>
  <c r="G1034" i="20"/>
  <c r="G498" i="20"/>
  <c r="G954" i="20"/>
  <c r="G429" i="20"/>
  <c r="G516" i="20"/>
  <c r="G207" i="20"/>
  <c r="G406" i="20"/>
  <c r="G321" i="20"/>
  <c r="G683" i="20"/>
  <c r="G240" i="20"/>
  <c r="G1055" i="20"/>
  <c r="G110" i="20"/>
  <c r="G403" i="20"/>
  <c r="G1035" i="20"/>
  <c r="G1041" i="20"/>
  <c r="G238" i="20"/>
  <c r="G430" i="20"/>
  <c r="G700" i="20"/>
  <c r="G305" i="20"/>
  <c r="G223" i="20"/>
  <c r="G948" i="20"/>
  <c r="G236" i="20"/>
  <c r="G778" i="20"/>
  <c r="G339" i="20"/>
  <c r="G659" i="20"/>
  <c r="G672" i="20"/>
  <c r="G588" i="20"/>
  <c r="G139" i="20"/>
  <c r="G331" i="20"/>
  <c r="G514" i="20"/>
  <c r="G924" i="20"/>
  <c r="G220" i="20"/>
  <c r="G133" i="20"/>
  <c r="G138" i="20"/>
  <c r="G144" i="20"/>
  <c r="G336" i="20"/>
  <c r="G520" i="20"/>
  <c r="G852" i="20"/>
  <c r="G675" i="20"/>
  <c r="G499" i="20"/>
  <c r="G424" i="20"/>
  <c r="G961" i="20"/>
  <c r="G154" i="20"/>
  <c r="G485" i="20"/>
  <c r="G316" i="20"/>
  <c r="G767" i="20"/>
  <c r="G328" i="20"/>
  <c r="G779" i="20"/>
  <c r="G785" i="20"/>
  <c r="G373" i="20"/>
  <c r="G113" i="20"/>
  <c r="G291" i="20"/>
  <c r="G913" i="20"/>
  <c r="G915" i="20"/>
  <c r="G476" i="20"/>
  <c r="G127" i="20"/>
  <c r="G757" i="20"/>
  <c r="G224" i="20"/>
  <c r="G136" i="20"/>
  <c r="G237" i="20"/>
  <c r="G876" i="20"/>
  <c r="G968" i="20"/>
  <c r="G392" i="20"/>
  <c r="G130" i="20"/>
  <c r="G947" i="20"/>
  <c r="G684" i="20"/>
  <c r="G428" i="20"/>
  <c r="G338" i="20"/>
  <c r="G384" i="20"/>
  <c r="G853" i="20"/>
  <c r="G944" i="20"/>
  <c r="G500" i="20"/>
  <c r="G956" i="20"/>
  <c r="G693" i="20"/>
  <c r="G970" i="20"/>
  <c r="G1029" i="20"/>
  <c r="G131" i="20"/>
  <c r="G1039" i="20"/>
  <c r="G595" i="20"/>
  <c r="G600" i="20"/>
  <c r="G249" i="20"/>
  <c r="G572" i="20"/>
  <c r="G1033" i="20"/>
  <c r="G1038" i="20"/>
  <c r="G140" i="20"/>
  <c r="G146" i="20"/>
  <c r="G1056" i="20"/>
  <c r="G926" i="20"/>
  <c r="G129" i="20"/>
  <c r="G496" i="20"/>
  <c r="G326" i="20"/>
  <c r="G507" i="20"/>
  <c r="G150" i="20"/>
  <c r="G1011" i="20"/>
  <c r="G581" i="20"/>
  <c r="G319" i="20"/>
  <c r="G865" i="20"/>
  <c r="G143" i="20"/>
  <c r="G602" i="20"/>
  <c r="G610" i="20"/>
  <c r="G218" i="20"/>
  <c r="G317" i="20"/>
  <c r="G863" i="20"/>
  <c r="G687" i="20"/>
  <c r="G960" i="20"/>
  <c r="G786" i="20"/>
  <c r="G469" i="20"/>
  <c r="G566" i="20"/>
  <c r="G562" i="20"/>
  <c r="G1008" i="20"/>
  <c r="G375" i="20"/>
  <c r="G1018" i="20"/>
  <c r="G378" i="20"/>
  <c r="N358" i="20" s="1"/>
  <c r="G937" i="20"/>
  <c r="G494" i="20"/>
  <c r="G864" i="20"/>
  <c r="G955" i="20"/>
  <c r="G243" i="20"/>
  <c r="G1059" i="20"/>
  <c r="G664" i="20"/>
  <c r="G856" i="20"/>
  <c r="G415" i="20"/>
  <c r="G503" i="20"/>
  <c r="G690" i="20"/>
  <c r="G966" i="20"/>
  <c r="G745" i="20"/>
  <c r="G221" i="20"/>
  <c r="G677" i="20"/>
  <c r="G234" i="20"/>
  <c r="G776" i="20"/>
  <c r="G603" i="20"/>
  <c r="G160" i="20"/>
  <c r="G1030" i="20"/>
  <c r="G763" i="20"/>
  <c r="G417" i="20"/>
  <c r="G142" i="20"/>
  <c r="G335" i="20"/>
  <c r="G517" i="20"/>
  <c r="G754" i="20"/>
  <c r="G942" i="20"/>
  <c r="G135" i="20"/>
  <c r="G685" i="20"/>
  <c r="G242" i="20"/>
  <c r="G967" i="20"/>
  <c r="G842" i="20"/>
  <c r="G583" i="20"/>
  <c r="G946" i="20"/>
  <c r="G1043" i="20"/>
  <c r="G508" i="20"/>
  <c r="G880" i="20"/>
  <c r="G835" i="20"/>
  <c r="G939" i="20"/>
  <c r="G1036" i="20"/>
  <c r="G419" i="20"/>
  <c r="G239" i="20"/>
  <c r="G782" i="20"/>
  <c r="G790" i="20"/>
  <c r="G219" i="20"/>
  <c r="G225" i="20"/>
  <c r="G769" i="20"/>
  <c r="G505" i="20"/>
  <c r="G511" i="20"/>
  <c r="G787" i="20"/>
  <c r="G733" i="20"/>
  <c r="G211" i="20"/>
  <c r="G298" i="20"/>
  <c r="G201" i="20"/>
  <c r="G734" i="20"/>
  <c r="G751" i="20"/>
  <c r="G472" i="20"/>
  <c r="G938" i="20"/>
  <c r="G676" i="20"/>
  <c r="G233" i="20"/>
  <c r="G688" i="20"/>
  <c r="G148" i="20"/>
  <c r="G788" i="20"/>
  <c r="G400" i="20"/>
  <c r="G409" i="20"/>
  <c r="G231" i="20"/>
  <c r="G1045" i="20"/>
  <c r="G875" i="20"/>
  <c r="G607" i="20"/>
  <c r="G928" i="20"/>
  <c r="G1032" i="20"/>
  <c r="G860" i="20"/>
  <c r="G867" i="20"/>
  <c r="G689" i="20"/>
  <c r="G246" i="20"/>
  <c r="G650" i="20"/>
  <c r="G489" i="20"/>
  <c r="G411" i="20"/>
  <c r="G232" i="20"/>
  <c r="G425" i="20"/>
  <c r="G962" i="20"/>
  <c r="G518" i="20"/>
  <c r="G217" i="20"/>
  <c r="G857" i="20"/>
  <c r="G862" i="20"/>
  <c r="G504" i="20"/>
  <c r="G147" i="20"/>
  <c r="G153" i="20"/>
  <c r="G663" i="20"/>
  <c r="G584" i="20"/>
  <c r="G861" i="20"/>
  <c r="G594" i="20"/>
  <c r="G874" i="20"/>
  <c r="G247" i="20"/>
  <c r="G389" i="20"/>
  <c r="G671" i="20"/>
  <c r="G134" i="20"/>
  <c r="G420" i="20"/>
  <c r="G427" i="20"/>
  <c r="G694" i="20"/>
  <c r="G382" i="20"/>
  <c r="G1031" i="20"/>
  <c r="G226" i="20"/>
  <c r="G325" i="20"/>
  <c r="G506" i="20"/>
  <c r="G878" i="20"/>
  <c r="G519" i="20"/>
  <c r="G371" i="20"/>
  <c r="G832" i="20"/>
  <c r="G1024" i="20"/>
  <c r="G478" i="20"/>
  <c r="G294" i="20"/>
  <c r="G1007" i="20"/>
  <c r="G753" i="20"/>
  <c r="G925" i="20"/>
  <c r="G759" i="20"/>
  <c r="G412" i="20"/>
  <c r="G1042" i="20"/>
  <c r="G426" i="20"/>
  <c r="G1054" i="20"/>
  <c r="G158" i="20"/>
  <c r="G488" i="20"/>
  <c r="G318" i="20"/>
  <c r="G768" i="20"/>
  <c r="G329" i="20"/>
  <c r="G601" i="20"/>
  <c r="G1058" i="20"/>
  <c r="G302" i="20"/>
  <c r="G222" i="20"/>
  <c r="G414" i="20"/>
  <c r="G327" i="20"/>
  <c r="G599" i="20"/>
  <c r="G151" i="20"/>
  <c r="G834" i="20"/>
  <c r="G758" i="20"/>
  <c r="G587" i="20"/>
  <c r="G682" i="20"/>
  <c r="G775" i="20"/>
  <c r="G245" i="20"/>
  <c r="G1060" i="20"/>
  <c r="G579" i="20"/>
  <c r="G943" i="20"/>
  <c r="G590" i="20"/>
  <c r="G774" i="20"/>
  <c r="G877" i="20"/>
  <c r="G340" i="20"/>
  <c r="G1026" i="20"/>
  <c r="G585" i="20"/>
  <c r="G680" i="20"/>
  <c r="G141" i="20"/>
  <c r="G510" i="20"/>
  <c r="G697" i="20"/>
  <c r="G660" i="20"/>
  <c r="G491" i="20"/>
  <c r="G1037" i="20"/>
  <c r="G421" i="20"/>
  <c r="G145" i="20"/>
  <c r="G965" i="20"/>
  <c r="G204" i="20"/>
  <c r="G582" i="20"/>
  <c r="G320" i="20"/>
  <c r="G770" i="20"/>
  <c r="G597" i="20"/>
  <c r="G149" i="20"/>
  <c r="G157" i="20"/>
  <c r="G295" i="20"/>
  <c r="G1022" i="20"/>
  <c r="G104" i="20"/>
  <c r="G1025" i="20"/>
  <c r="G300" i="20"/>
  <c r="G108" i="20"/>
  <c r="G125" i="20"/>
  <c r="G661" i="20"/>
  <c r="G315" i="20"/>
  <c r="G322" i="20"/>
  <c r="G502" i="20"/>
  <c r="G1049" i="20"/>
  <c r="G606" i="20"/>
  <c r="G561" i="20"/>
  <c r="G404" i="20"/>
  <c r="G764" i="20"/>
  <c r="G418" i="20"/>
  <c r="G1047" i="20"/>
  <c r="G512" i="20"/>
  <c r="G789" i="20"/>
  <c r="G577" i="20"/>
  <c r="G761" i="20"/>
  <c r="G416" i="20"/>
  <c r="G686" i="20"/>
  <c r="G1051" i="20"/>
  <c r="G152" i="20"/>
  <c r="G390" i="20"/>
  <c r="G855" i="20"/>
  <c r="G765" i="20"/>
  <c r="G771" i="20"/>
  <c r="G958" i="20"/>
  <c r="G783" i="20"/>
  <c r="G653" i="20"/>
  <c r="G128" i="20"/>
  <c r="G227" i="20"/>
  <c r="G951" i="20"/>
  <c r="G872" i="20"/>
  <c r="G963" i="20"/>
  <c r="G156" i="20"/>
  <c r="G312" i="20"/>
  <c r="G132" i="20"/>
  <c r="G681" i="20"/>
  <c r="G1046" i="20"/>
  <c r="G692" i="20"/>
  <c r="G250" i="20"/>
  <c r="G1027" i="20"/>
  <c r="G674" i="20"/>
  <c r="G323" i="20"/>
  <c r="G422" i="20"/>
  <c r="G691" i="20"/>
  <c r="G1057" i="20"/>
  <c r="G210" i="20"/>
  <c r="G407" i="20"/>
  <c r="G229" i="20"/>
  <c r="G235" i="20"/>
  <c r="G241" i="20"/>
  <c r="G605" i="20"/>
  <c r="G308" i="20"/>
  <c r="G952" i="20"/>
  <c r="G781" i="20"/>
  <c r="G205" i="20"/>
  <c r="G495" i="20"/>
  <c r="G423" i="20"/>
  <c r="G695" i="20"/>
  <c r="G829" i="20"/>
  <c r="N808" i="20" s="1"/>
  <c r="G212" i="20"/>
  <c r="G873" i="20"/>
  <c r="G609" i="20"/>
  <c r="G490" i="20"/>
  <c r="G950" i="20"/>
  <c r="G334" i="20"/>
  <c r="G206" i="20"/>
  <c r="G314" i="20"/>
  <c r="G513" i="20"/>
  <c r="G839" i="20"/>
  <c r="G604" i="20"/>
  <c r="G847" i="20"/>
  <c r="G859" i="20"/>
  <c r="G871" i="20"/>
  <c r="G698" i="20"/>
  <c r="G854" i="20"/>
  <c r="G591" i="20"/>
  <c r="G731" i="20"/>
  <c r="G468" i="20"/>
  <c r="N448" i="20" s="1"/>
  <c r="G492" i="20"/>
  <c r="G501" i="20"/>
  <c r="G1053" i="20"/>
  <c r="G932" i="20"/>
  <c r="G678" i="20"/>
  <c r="G200" i="20"/>
  <c r="G307" i="20"/>
  <c r="G580" i="20"/>
  <c r="G679" i="20"/>
  <c r="G598" i="20"/>
  <c r="G969" i="20"/>
  <c r="G941" i="20"/>
  <c r="G866" i="20"/>
  <c r="G959" i="20"/>
  <c r="G118" i="20"/>
  <c r="G586" i="20"/>
  <c r="G869" i="20"/>
  <c r="G337" i="20"/>
  <c r="G402" i="20"/>
  <c r="G230" i="20"/>
  <c r="G777" i="20"/>
  <c r="G493" i="20"/>
  <c r="G388" i="20"/>
  <c r="G413" i="20"/>
  <c r="G596" i="20"/>
  <c r="G248" i="20"/>
  <c r="G670" i="20"/>
  <c r="G949" i="20"/>
  <c r="G1050" i="20"/>
  <c r="G953" i="20"/>
  <c r="H926" i="13"/>
  <c r="H935" i="13"/>
  <c r="J878" i="13"/>
  <c r="H884" i="13"/>
  <c r="M884" i="13" s="1"/>
  <c r="H882" i="13"/>
  <c r="H883" i="13"/>
  <c r="M883" i="13" s="1"/>
  <c r="H885" i="13"/>
  <c r="M885" i="13" s="1"/>
  <c r="H934" i="13"/>
  <c r="H888" i="13"/>
  <c r="H889" i="13"/>
  <c r="H890" i="13"/>
  <c r="H891" i="13"/>
  <c r="H892" i="13"/>
  <c r="H893" i="13"/>
  <c r="H887" i="13"/>
  <c r="M887" i="13" s="1"/>
  <c r="H896" i="13"/>
  <c r="H897" i="13"/>
  <c r="H898" i="13"/>
  <c r="H899" i="13"/>
  <c r="H900" i="13"/>
  <c r="H901" i="13"/>
  <c r="H886" i="13"/>
  <c r="M886" i="13" s="1"/>
  <c r="H895" i="13"/>
  <c r="H904" i="13"/>
  <c r="H905" i="13"/>
  <c r="H906" i="13"/>
  <c r="H907" i="13"/>
  <c r="H908" i="13"/>
  <c r="H909" i="13"/>
  <c r="H894" i="13"/>
  <c r="H903" i="13"/>
  <c r="H912" i="13"/>
  <c r="H913" i="13"/>
  <c r="H914" i="13"/>
  <c r="H915" i="13"/>
  <c r="H916" i="13"/>
  <c r="H917" i="13"/>
  <c r="H902" i="13"/>
  <c r="H911" i="13"/>
  <c r="H920" i="13"/>
  <c r="H921" i="13"/>
  <c r="H922" i="13"/>
  <c r="H923" i="13"/>
  <c r="H924" i="13"/>
  <c r="H925" i="13"/>
  <c r="H918" i="13"/>
  <c r="H927" i="13"/>
  <c r="H936" i="13"/>
  <c r="H937" i="13"/>
  <c r="H938" i="13"/>
  <c r="H939" i="13"/>
  <c r="H940" i="13"/>
  <c r="H941" i="13"/>
  <c r="H919" i="13"/>
  <c r="H928" i="13"/>
  <c r="H929" i="13"/>
  <c r="H930" i="13"/>
  <c r="H931" i="13"/>
  <c r="H932" i="13"/>
  <c r="H910" i="13"/>
  <c r="H933" i="13"/>
  <c r="H462" i="13"/>
  <c r="H463" i="13"/>
  <c r="H464" i="13"/>
  <c r="H465" i="13"/>
  <c r="H466" i="13"/>
  <c r="H467" i="13"/>
  <c r="H476" i="13"/>
  <c r="H485" i="13"/>
  <c r="H470" i="13"/>
  <c r="H471" i="13"/>
  <c r="H472" i="13"/>
  <c r="H473" i="13"/>
  <c r="H474" i="13"/>
  <c r="H475" i="13"/>
  <c r="H484" i="13"/>
  <c r="H493" i="13"/>
  <c r="H478" i="13"/>
  <c r="H479" i="13"/>
  <c r="H480" i="13"/>
  <c r="H481" i="13"/>
  <c r="H482" i="13"/>
  <c r="H483" i="13"/>
  <c r="H492" i="13"/>
  <c r="H501" i="13"/>
  <c r="H486" i="13"/>
  <c r="H487" i="13"/>
  <c r="H488" i="13"/>
  <c r="H489" i="13"/>
  <c r="H490" i="13"/>
  <c r="H491" i="13"/>
  <c r="H500" i="13"/>
  <c r="H494" i="13"/>
  <c r="H495" i="13"/>
  <c r="H496" i="13"/>
  <c r="H497" i="13"/>
  <c r="H498" i="13"/>
  <c r="H499" i="13"/>
  <c r="H453" i="13"/>
  <c r="M453" i="13" s="1"/>
  <c r="H502" i="13"/>
  <c r="H503" i="13"/>
  <c r="H504" i="13"/>
  <c r="H505" i="13"/>
  <c r="H506" i="13"/>
  <c r="H452" i="13"/>
  <c r="M452" i="13" s="1"/>
  <c r="H461" i="13"/>
  <c r="H454" i="13"/>
  <c r="H455" i="13"/>
  <c r="H456" i="13"/>
  <c r="H457" i="13"/>
  <c r="H458" i="13"/>
  <c r="H459" i="13"/>
  <c r="H468" i="13"/>
  <c r="H477" i="13"/>
  <c r="J443" i="13"/>
  <c r="H450" i="13"/>
  <c r="M450" i="13" s="1"/>
  <c r="H447" i="13"/>
  <c r="H449" i="13"/>
  <c r="M449" i="13" s="1"/>
  <c r="H451" i="13"/>
  <c r="M451" i="13" s="1"/>
  <c r="H460" i="13"/>
  <c r="H469" i="13"/>
  <c r="H448" i="13"/>
  <c r="M448" i="13" s="1"/>
  <c r="H732" i="13"/>
  <c r="H733" i="13"/>
  <c r="H734" i="13"/>
  <c r="H735" i="13"/>
  <c r="H736" i="13"/>
  <c r="H745" i="13"/>
  <c r="H754" i="13"/>
  <c r="H755" i="13"/>
  <c r="H740" i="13"/>
  <c r="H741" i="13"/>
  <c r="H742" i="13"/>
  <c r="H743" i="13"/>
  <c r="H744" i="13"/>
  <c r="H753" i="13"/>
  <c r="H762" i="13"/>
  <c r="H763" i="13"/>
  <c r="H748" i="13"/>
  <c r="H749" i="13"/>
  <c r="H750" i="13"/>
  <c r="H751" i="13"/>
  <c r="H752" i="13"/>
  <c r="H761" i="13"/>
  <c r="J704" i="13"/>
  <c r="H756" i="13"/>
  <c r="H757" i="13"/>
  <c r="H758" i="13"/>
  <c r="H759" i="13"/>
  <c r="H760" i="13"/>
  <c r="H714" i="13"/>
  <c r="M714" i="13" s="1"/>
  <c r="H715" i="13"/>
  <c r="H764" i="13"/>
  <c r="H765" i="13"/>
  <c r="H766" i="13"/>
  <c r="H767" i="13"/>
  <c r="H713" i="13"/>
  <c r="M713" i="13" s="1"/>
  <c r="H722" i="13"/>
  <c r="H723" i="13"/>
  <c r="H708" i="13"/>
  <c r="H710" i="13"/>
  <c r="M710" i="13" s="1"/>
  <c r="H709" i="13"/>
  <c r="M709" i="13" s="1"/>
  <c r="H711" i="13"/>
  <c r="M711" i="13" s="1"/>
  <c r="H712" i="13"/>
  <c r="M712" i="13" s="1"/>
  <c r="H721" i="13"/>
  <c r="H730" i="13"/>
  <c r="H731" i="13"/>
  <c r="H724" i="13"/>
  <c r="H725" i="13"/>
  <c r="H726" i="13"/>
  <c r="H727" i="13"/>
  <c r="H729" i="13"/>
  <c r="H737" i="13"/>
  <c r="H746" i="13"/>
  <c r="H747" i="13"/>
  <c r="H717" i="13"/>
  <c r="H718" i="13"/>
  <c r="H719" i="13"/>
  <c r="H720" i="13"/>
  <c r="H728" i="13"/>
  <c r="H738" i="13"/>
  <c r="H716" i="13"/>
  <c r="H739" i="13"/>
  <c r="H672" i="13"/>
  <c r="H673" i="13"/>
  <c r="H627" i="13"/>
  <c r="M627" i="13" s="1"/>
  <c r="H628" i="13"/>
  <c r="H629" i="13"/>
  <c r="H630" i="13"/>
  <c r="H631" i="13"/>
  <c r="H680" i="13"/>
  <c r="H626" i="13"/>
  <c r="M626" i="13" s="1"/>
  <c r="H635" i="13"/>
  <c r="H636" i="13"/>
  <c r="H637" i="13"/>
  <c r="H638" i="13"/>
  <c r="H639" i="13"/>
  <c r="H624" i="13"/>
  <c r="M624" i="13" s="1"/>
  <c r="H625" i="13"/>
  <c r="M625" i="13" s="1"/>
  <c r="H634" i="13"/>
  <c r="H643" i="13"/>
  <c r="H644" i="13"/>
  <c r="H645" i="13"/>
  <c r="H646" i="13"/>
  <c r="H647" i="13"/>
  <c r="H632" i="13"/>
  <c r="H633" i="13"/>
  <c r="H642" i="13"/>
  <c r="H651" i="13"/>
  <c r="H652" i="13"/>
  <c r="H653" i="13"/>
  <c r="H654" i="13"/>
  <c r="H655" i="13"/>
  <c r="H640" i="13"/>
  <c r="H641" i="13"/>
  <c r="H650" i="13"/>
  <c r="H659" i="13"/>
  <c r="H661" i="13"/>
  <c r="H660" i="13"/>
  <c r="H662" i="13"/>
  <c r="H663" i="13"/>
  <c r="H648" i="13"/>
  <c r="H649" i="13"/>
  <c r="H658" i="13"/>
  <c r="H666" i="13"/>
  <c r="H668" i="13"/>
  <c r="H669" i="13"/>
  <c r="H670" i="13"/>
  <c r="H671" i="13"/>
  <c r="H664" i="13"/>
  <c r="H665" i="13"/>
  <c r="H674" i="13"/>
  <c r="H621" i="13"/>
  <c r="J617" i="13"/>
  <c r="H622" i="13"/>
  <c r="M622" i="13" s="1"/>
  <c r="H623" i="13"/>
  <c r="M623" i="13" s="1"/>
  <c r="H657" i="13"/>
  <c r="H667" i="13"/>
  <c r="H675" i="13"/>
  <c r="H676" i="13"/>
  <c r="H677" i="13"/>
  <c r="H678" i="13"/>
  <c r="H656" i="13"/>
  <c r="H679" i="13"/>
  <c r="H199" i="13"/>
  <c r="H208" i="13"/>
  <c r="H209" i="13"/>
  <c r="H211" i="13"/>
  <c r="H210" i="13"/>
  <c r="H212" i="13"/>
  <c r="H213" i="13"/>
  <c r="H214" i="13"/>
  <c r="H207" i="13"/>
  <c r="H216" i="13"/>
  <c r="H217" i="13"/>
  <c r="H218" i="13"/>
  <c r="H219" i="13"/>
  <c r="H220" i="13"/>
  <c r="H221" i="13"/>
  <c r="H222" i="13"/>
  <c r="H215" i="13"/>
  <c r="H224" i="13"/>
  <c r="H225" i="13"/>
  <c r="H226" i="13"/>
  <c r="H227" i="13"/>
  <c r="H228" i="13"/>
  <c r="H229" i="13"/>
  <c r="H230" i="13"/>
  <c r="H223" i="13"/>
  <c r="H232" i="13"/>
  <c r="H233" i="13"/>
  <c r="H234" i="13"/>
  <c r="H235" i="13"/>
  <c r="H236" i="13"/>
  <c r="H237" i="13"/>
  <c r="H238" i="13"/>
  <c r="H231" i="13"/>
  <c r="H240" i="13"/>
  <c r="H241" i="13"/>
  <c r="H242" i="13"/>
  <c r="H243" i="13"/>
  <c r="H244" i="13"/>
  <c r="H245" i="13"/>
  <c r="H239" i="13"/>
  <c r="H189" i="13"/>
  <c r="M189" i="13" s="1"/>
  <c r="H188" i="13"/>
  <c r="M188" i="13" s="1"/>
  <c r="J182" i="13"/>
  <c r="H187" i="13"/>
  <c r="M187" i="13" s="1"/>
  <c r="H190" i="13"/>
  <c r="M190" i="13" s="1"/>
  <c r="H186" i="13"/>
  <c r="H191" i="13"/>
  <c r="M191" i="13" s="1"/>
  <c r="H200" i="13"/>
  <c r="H201" i="13"/>
  <c r="H202" i="13"/>
  <c r="H203" i="13"/>
  <c r="H204" i="13"/>
  <c r="H205" i="13"/>
  <c r="H206" i="13"/>
  <c r="H193" i="13"/>
  <c r="M193" i="13" s="1"/>
  <c r="H194" i="13"/>
  <c r="H195" i="13"/>
  <c r="H196" i="13"/>
  <c r="H197" i="13"/>
  <c r="H198" i="13"/>
  <c r="H192" i="13"/>
  <c r="M192" i="13" s="1"/>
  <c r="H539" i="13"/>
  <c r="M539" i="13" s="1"/>
  <c r="H548" i="13"/>
  <c r="H549" i="13"/>
  <c r="H550" i="13"/>
  <c r="H551" i="13"/>
  <c r="H552" i="13"/>
  <c r="H553" i="13"/>
  <c r="H547" i="13"/>
  <c r="H556" i="13"/>
  <c r="H557" i="13"/>
  <c r="H558" i="13"/>
  <c r="H559" i="13"/>
  <c r="H560" i="13"/>
  <c r="H555" i="13"/>
  <c r="H564" i="13"/>
  <c r="H565" i="13"/>
  <c r="H566" i="13"/>
  <c r="H567" i="13"/>
  <c r="H568" i="13"/>
  <c r="H563" i="13"/>
  <c r="H572" i="13"/>
  <c r="H573" i="13"/>
  <c r="H574" i="13"/>
  <c r="H575" i="13"/>
  <c r="H576" i="13"/>
  <c r="H571" i="13"/>
  <c r="H580" i="13"/>
  <c r="H581" i="13"/>
  <c r="H582" i="13"/>
  <c r="H583" i="13"/>
  <c r="H584" i="13"/>
  <c r="H579" i="13"/>
  <c r="H588" i="13"/>
  <c r="H589" i="13"/>
  <c r="H590" i="13"/>
  <c r="H591" i="13"/>
  <c r="H592" i="13"/>
  <c r="H540" i="13"/>
  <c r="M540" i="13" s="1"/>
  <c r="H541" i="13"/>
  <c r="H542" i="13"/>
  <c r="H543" i="13"/>
  <c r="H544" i="13"/>
  <c r="H545" i="13"/>
  <c r="J530" i="13"/>
  <c r="H585" i="13"/>
  <c r="H586" i="13"/>
  <c r="H534" i="13"/>
  <c r="H593" i="13"/>
  <c r="H561" i="13"/>
  <c r="H569" i="13"/>
  <c r="H535" i="13"/>
  <c r="M535" i="13" s="1"/>
  <c r="H538" i="13"/>
  <c r="M538" i="13" s="1"/>
  <c r="H536" i="13"/>
  <c r="M536" i="13" s="1"/>
  <c r="H546" i="13"/>
  <c r="H570" i="13"/>
  <c r="H537" i="13"/>
  <c r="M537" i="13" s="1"/>
  <c r="H554" i="13"/>
  <c r="H562" i="13"/>
  <c r="H587" i="13"/>
  <c r="H577" i="13"/>
  <c r="H578" i="13"/>
  <c r="H331" i="13"/>
  <c r="H332" i="13"/>
  <c r="H278" i="13"/>
  <c r="M278" i="13" s="1"/>
  <c r="H287" i="13"/>
  <c r="H288" i="13"/>
  <c r="H289" i="13"/>
  <c r="H290" i="13"/>
  <c r="J269" i="13"/>
  <c r="H275" i="13"/>
  <c r="M275" i="13" s="1"/>
  <c r="H273" i="13"/>
  <c r="H286" i="13"/>
  <c r="H295" i="13"/>
  <c r="H297" i="13"/>
  <c r="H296" i="13"/>
  <c r="H298" i="13"/>
  <c r="H283" i="13"/>
  <c r="H284" i="13"/>
  <c r="H285" i="13"/>
  <c r="H294" i="13"/>
  <c r="H303" i="13"/>
  <c r="H304" i="13"/>
  <c r="H305" i="13"/>
  <c r="H306" i="13"/>
  <c r="H291" i="13"/>
  <c r="H292" i="13"/>
  <c r="H293" i="13"/>
  <c r="H302" i="13"/>
  <c r="H311" i="13"/>
  <c r="H312" i="13"/>
  <c r="H313" i="13"/>
  <c r="H314" i="13"/>
  <c r="H299" i="13"/>
  <c r="H300" i="13"/>
  <c r="H301" i="13"/>
  <c r="H310" i="13"/>
  <c r="H319" i="13"/>
  <c r="H320" i="13"/>
  <c r="H321" i="13"/>
  <c r="H322" i="13"/>
  <c r="H307" i="13"/>
  <c r="H308" i="13"/>
  <c r="H309" i="13"/>
  <c r="H318" i="13"/>
  <c r="H327" i="13"/>
  <c r="H328" i="13"/>
  <c r="H329" i="13"/>
  <c r="H330" i="13"/>
  <c r="H323" i="13"/>
  <c r="H324" i="13"/>
  <c r="H325" i="13"/>
  <c r="H279" i="13"/>
  <c r="M279" i="13" s="1"/>
  <c r="H280" i="13"/>
  <c r="M280" i="13" s="1"/>
  <c r="H281" i="13"/>
  <c r="H282" i="13"/>
  <c r="H317" i="13"/>
  <c r="H326" i="13"/>
  <c r="H274" i="13"/>
  <c r="M274" i="13" s="1"/>
  <c r="H276" i="13"/>
  <c r="M276" i="13" s="1"/>
  <c r="H277" i="13"/>
  <c r="M277" i="13" s="1"/>
  <c r="H316" i="13"/>
  <c r="H315" i="13"/>
  <c r="H987" i="13"/>
  <c r="H988" i="13"/>
  <c r="H989" i="13"/>
  <c r="H998" i="13"/>
  <c r="H1007" i="13"/>
  <c r="H1008" i="13"/>
  <c r="H1009" i="13"/>
  <c r="H1010" i="13"/>
  <c r="H995" i="13"/>
  <c r="H996" i="13"/>
  <c r="H997" i="13"/>
  <c r="H1006" i="13"/>
  <c r="H1015" i="13"/>
  <c r="H1016" i="13"/>
  <c r="H1017" i="13"/>
  <c r="H1018" i="13"/>
  <c r="H1003" i="13"/>
  <c r="H1004" i="13"/>
  <c r="H1005" i="13"/>
  <c r="H1014" i="13"/>
  <c r="H1023" i="13"/>
  <c r="H1024" i="13"/>
  <c r="H1025" i="13"/>
  <c r="H1026" i="13"/>
  <c r="H1011" i="13"/>
  <c r="H1012" i="13"/>
  <c r="H1013" i="13"/>
  <c r="H1022" i="13"/>
  <c r="H969" i="13"/>
  <c r="J965" i="13"/>
  <c r="H970" i="13"/>
  <c r="M970" i="13" s="1"/>
  <c r="H1019" i="13"/>
  <c r="H1020" i="13"/>
  <c r="H1021" i="13"/>
  <c r="H975" i="13"/>
  <c r="H976" i="13"/>
  <c r="H977" i="13"/>
  <c r="H978" i="13"/>
  <c r="H1027" i="13"/>
  <c r="H1028" i="13"/>
  <c r="H974" i="13"/>
  <c r="H983" i="13"/>
  <c r="H984" i="13"/>
  <c r="H985" i="13"/>
  <c r="H986" i="13"/>
  <c r="H979" i="13"/>
  <c r="H980" i="13"/>
  <c r="H981" i="13"/>
  <c r="H990" i="13"/>
  <c r="H999" i="13"/>
  <c r="H1000" i="13"/>
  <c r="H1001" i="13"/>
  <c r="H1002" i="13"/>
  <c r="H982" i="13"/>
  <c r="H991" i="13"/>
  <c r="H992" i="13"/>
  <c r="H993" i="13"/>
  <c r="H994" i="13"/>
  <c r="H971" i="13"/>
  <c r="M971" i="13" s="1"/>
  <c r="H973" i="13"/>
  <c r="M973" i="13" s="1"/>
  <c r="H972" i="13"/>
  <c r="M972" i="13" s="1"/>
  <c r="H377" i="13"/>
  <c r="H379" i="13"/>
  <c r="H381" i="13"/>
  <c r="H375" i="13"/>
  <c r="H396" i="13"/>
  <c r="H418" i="13"/>
  <c r="H404" i="13"/>
  <c r="H413" i="13"/>
  <c r="H397" i="13"/>
  <c r="H366" i="13"/>
  <c r="M366" i="13" s="1"/>
  <c r="H398" i="13"/>
  <c r="H414" i="13"/>
  <c r="H406" i="13"/>
  <c r="H416" i="13"/>
  <c r="H388" i="13"/>
  <c r="H365" i="13"/>
  <c r="M365" i="13" s="1"/>
  <c r="H360" i="13"/>
  <c r="H385" i="13"/>
  <c r="H387" i="13"/>
  <c r="H389" i="13"/>
  <c r="H383" i="13"/>
  <c r="H412" i="13"/>
  <c r="H405" i="13"/>
  <c r="H407" i="13"/>
  <c r="H415" i="13"/>
  <c r="H417" i="13"/>
  <c r="H368" i="13"/>
  <c r="H361" i="13"/>
  <c r="M361" i="13" s="1"/>
  <c r="J356" i="13"/>
  <c r="H391" i="13"/>
  <c r="H400" i="13"/>
  <c r="H390" i="13"/>
  <c r="H399" i="13"/>
  <c r="H402" i="13"/>
  <c r="H376" i="13"/>
  <c r="H370" i="13"/>
  <c r="H372" i="13"/>
  <c r="H374" i="13"/>
  <c r="H393" i="13"/>
  <c r="H392" i="13"/>
  <c r="H395" i="13"/>
  <c r="H403" i="13"/>
  <c r="H384" i="13"/>
  <c r="H378" i="13"/>
  <c r="H380" i="13"/>
  <c r="H382" i="13"/>
  <c r="H401" i="13"/>
  <c r="H408" i="13"/>
  <c r="H386" i="13"/>
  <c r="H394" i="13"/>
  <c r="H363" i="13"/>
  <c r="M363" i="13" s="1"/>
  <c r="H409" i="13"/>
  <c r="H364" i="13"/>
  <c r="M364" i="13" s="1"/>
  <c r="H369" i="13"/>
  <c r="H371" i="13"/>
  <c r="H373" i="13"/>
  <c r="H367" i="13"/>
  <c r="H419" i="13"/>
  <c r="H410" i="13"/>
  <c r="H411" i="13"/>
  <c r="H362" i="13"/>
  <c r="M362" i="13" s="1"/>
  <c r="H795" i="13"/>
  <c r="H797" i="13"/>
  <c r="M797" i="13" s="1"/>
  <c r="H796" i="13"/>
  <c r="J791" i="13"/>
  <c r="H798" i="13"/>
  <c r="M798" i="13" s="1"/>
  <c r="H799" i="13"/>
  <c r="M799" i="13" s="1"/>
  <c r="H808" i="13"/>
  <c r="H817" i="13"/>
  <c r="H802" i="13"/>
  <c r="M802" i="13" s="1"/>
  <c r="H803" i="13"/>
  <c r="H804" i="13"/>
  <c r="H805" i="13"/>
  <c r="H806" i="13"/>
  <c r="H807" i="13"/>
  <c r="H816" i="13"/>
  <c r="H825" i="13"/>
  <c r="H810" i="13"/>
  <c r="H811" i="13"/>
  <c r="H812" i="13"/>
  <c r="H813" i="13"/>
  <c r="H814" i="13"/>
  <c r="H815" i="13"/>
  <c r="H824" i="13"/>
  <c r="H833" i="13"/>
  <c r="H818" i="13"/>
  <c r="H819" i="13"/>
  <c r="H820" i="13"/>
  <c r="H821" i="13"/>
  <c r="H822" i="13"/>
  <c r="H823" i="13"/>
  <c r="H832" i="13"/>
  <c r="H841" i="13"/>
  <c r="H826" i="13"/>
  <c r="H827" i="13"/>
  <c r="H828" i="13"/>
  <c r="H829" i="13"/>
  <c r="H830" i="13"/>
  <c r="H831" i="13"/>
  <c r="H840" i="13"/>
  <c r="H849" i="13"/>
  <c r="H834" i="13"/>
  <c r="H835" i="13"/>
  <c r="H836" i="13"/>
  <c r="H837" i="13"/>
  <c r="H838" i="13"/>
  <c r="H839" i="13"/>
  <c r="H848" i="13"/>
  <c r="H850" i="13"/>
  <c r="H851" i="13"/>
  <c r="H852" i="13"/>
  <c r="H853" i="13"/>
  <c r="H854" i="13"/>
  <c r="H800" i="13"/>
  <c r="M800" i="13" s="1"/>
  <c r="H809" i="13"/>
  <c r="H842" i="13"/>
  <c r="H843" i="13"/>
  <c r="H844" i="13"/>
  <c r="H845" i="13"/>
  <c r="H846" i="13"/>
  <c r="H847" i="13"/>
  <c r="H801" i="13"/>
  <c r="M801" i="13" s="1"/>
  <c r="H942" i="13" l="1"/>
  <c r="M26" i="20"/>
  <c r="G521" i="20"/>
  <c r="H855" i="13"/>
  <c r="I322" i="13"/>
  <c r="J322" i="13" s="1"/>
  <c r="I291" i="13"/>
  <c r="J291" i="13" s="1"/>
  <c r="I310" i="13"/>
  <c r="J310" i="13" s="1"/>
  <c r="I324" i="13"/>
  <c r="J324" i="13" s="1"/>
  <c r="I286" i="13"/>
  <c r="J286" i="13" s="1"/>
  <c r="I327" i="13"/>
  <c r="J327" i="13" s="1"/>
  <c r="I320" i="13"/>
  <c r="J320" i="13" s="1"/>
  <c r="I330" i="13"/>
  <c r="J330" i="13" s="1"/>
  <c r="I299" i="13"/>
  <c r="J299" i="13" s="1"/>
  <c r="I329" i="13"/>
  <c r="J329" i="13" s="1"/>
  <c r="I332" i="13"/>
  <c r="J332" i="13" s="1"/>
  <c r="I302" i="13"/>
  <c r="J302" i="13" s="1"/>
  <c r="I280" i="13"/>
  <c r="I277" i="13"/>
  <c r="I274" i="13"/>
  <c r="I275" i="13"/>
  <c r="I307" i="13"/>
  <c r="J307" i="13" s="1"/>
  <c r="I276" i="13"/>
  <c r="I301" i="13"/>
  <c r="J301" i="13" s="1"/>
  <c r="I279" i="13"/>
  <c r="I288" i="13"/>
  <c r="J288" i="13" s="1"/>
  <c r="I281" i="13"/>
  <c r="I282" i="13"/>
  <c r="J282" i="13" s="1"/>
  <c r="I309" i="13"/>
  <c r="J309" i="13" s="1"/>
  <c r="I315" i="13"/>
  <c r="J315" i="13" s="1"/>
  <c r="I284" i="13"/>
  <c r="J284" i="13" s="1"/>
  <c r="I294" i="13"/>
  <c r="J294" i="13" s="1"/>
  <c r="I287" i="13"/>
  <c r="J287" i="13" s="1"/>
  <c r="I296" i="13"/>
  <c r="J296" i="13" s="1"/>
  <c r="I289" i="13"/>
  <c r="J289" i="13" s="1"/>
  <c r="I290" i="13"/>
  <c r="J290" i="13" s="1"/>
  <c r="I325" i="13"/>
  <c r="J325" i="13" s="1"/>
  <c r="I323" i="13"/>
  <c r="J323" i="13" s="1"/>
  <c r="I292" i="13"/>
  <c r="J292" i="13" s="1"/>
  <c r="I326" i="13"/>
  <c r="J326" i="13" s="1"/>
  <c r="I295" i="13"/>
  <c r="J295" i="13" s="1"/>
  <c r="I304" i="13"/>
  <c r="J304" i="13" s="1"/>
  <c r="I297" i="13"/>
  <c r="J297" i="13" s="1"/>
  <c r="I314" i="13"/>
  <c r="J314" i="13" s="1"/>
  <c r="I283" i="13"/>
  <c r="J283" i="13" s="1"/>
  <c r="I317" i="13"/>
  <c r="J317" i="13" s="1"/>
  <c r="I318" i="13"/>
  <c r="J318" i="13" s="1"/>
  <c r="I321" i="13"/>
  <c r="J321" i="13" s="1"/>
  <c r="I313" i="13"/>
  <c r="J313" i="13" s="1"/>
  <c r="I273" i="13"/>
  <c r="I278" i="13"/>
  <c r="I298" i="13"/>
  <c r="J298" i="13" s="1"/>
  <c r="I331" i="13"/>
  <c r="J331" i="13" s="1"/>
  <c r="I303" i="13"/>
  <c r="J303" i="13" s="1"/>
  <c r="I293" i="13"/>
  <c r="J293" i="13" s="1"/>
  <c r="I311" i="13"/>
  <c r="J311" i="13" s="1"/>
  <c r="I328" i="13"/>
  <c r="J328" i="13" s="1"/>
  <c r="I300" i="13"/>
  <c r="J300" i="13" s="1"/>
  <c r="I319" i="13"/>
  <c r="J319" i="13" s="1"/>
  <c r="I308" i="13"/>
  <c r="J308" i="13" s="1"/>
  <c r="I312" i="13"/>
  <c r="J312" i="13" s="1"/>
  <c r="I316" i="13"/>
  <c r="J316" i="13" s="1"/>
  <c r="I306" i="13"/>
  <c r="J306" i="13" s="1"/>
  <c r="I285" i="13"/>
  <c r="J285" i="13" s="1"/>
  <c r="I305" i="13"/>
  <c r="J305" i="13" s="1"/>
  <c r="G611" i="20"/>
  <c r="G161" i="20"/>
  <c r="M108" i="13"/>
  <c r="M89" i="13"/>
  <c r="M958" i="13"/>
  <c r="M959" i="13" s="1"/>
  <c r="M974" i="13"/>
  <c r="M194" i="13"/>
  <c r="M175" i="13"/>
  <c r="M176" i="13" s="1"/>
  <c r="M262" i="13"/>
  <c r="M263" i="13" s="1"/>
  <c r="M281" i="13"/>
  <c r="M628" i="13"/>
  <c r="M610" i="13"/>
  <c r="M611" i="13" s="1"/>
  <c r="I449" i="13"/>
  <c r="I451" i="13"/>
  <c r="I460" i="13"/>
  <c r="J460" i="13" s="1"/>
  <c r="I469" i="13"/>
  <c r="J469" i="13" s="1"/>
  <c r="I478" i="13"/>
  <c r="J478" i="13" s="1"/>
  <c r="I479" i="13"/>
  <c r="J479" i="13" s="1"/>
  <c r="I457" i="13"/>
  <c r="J457" i="13" s="1"/>
  <c r="I480" i="13"/>
  <c r="J480" i="13" s="1"/>
  <c r="I458" i="13"/>
  <c r="J458" i="13" s="1"/>
  <c r="I459" i="13"/>
  <c r="J459" i="13" s="1"/>
  <c r="I468" i="13"/>
  <c r="J468" i="13" s="1"/>
  <c r="I477" i="13"/>
  <c r="J477" i="13" s="1"/>
  <c r="I487" i="13"/>
  <c r="J487" i="13" s="1"/>
  <c r="I465" i="13"/>
  <c r="J465" i="13" s="1"/>
  <c r="I488" i="13"/>
  <c r="J488" i="13" s="1"/>
  <c r="I495" i="13"/>
  <c r="J495" i="13" s="1"/>
  <c r="I496" i="13"/>
  <c r="J496" i="13" s="1"/>
  <c r="I501" i="13"/>
  <c r="J501" i="13" s="1"/>
  <c r="I463" i="13"/>
  <c r="J463" i="13" s="1"/>
  <c r="I486" i="13"/>
  <c r="J486" i="13" s="1"/>
  <c r="I466" i="13"/>
  <c r="J466" i="13" s="1"/>
  <c r="I467" i="13"/>
  <c r="J467" i="13" s="1"/>
  <c r="I476" i="13"/>
  <c r="J476" i="13" s="1"/>
  <c r="I485" i="13"/>
  <c r="J485" i="13" s="1"/>
  <c r="I494" i="13"/>
  <c r="J494" i="13" s="1"/>
  <c r="I473" i="13"/>
  <c r="J473" i="13" s="1"/>
  <c r="I448" i="13"/>
  <c r="I464" i="13"/>
  <c r="J464" i="13" s="1"/>
  <c r="I474" i="13"/>
  <c r="J474" i="13" s="1"/>
  <c r="I475" i="13"/>
  <c r="J475" i="13" s="1"/>
  <c r="I484" i="13"/>
  <c r="J484" i="13" s="1"/>
  <c r="I493" i="13"/>
  <c r="J493" i="13" s="1"/>
  <c r="I502" i="13"/>
  <c r="J502" i="13" s="1"/>
  <c r="I503" i="13"/>
  <c r="J503" i="13" s="1"/>
  <c r="I481" i="13"/>
  <c r="J481" i="13" s="1"/>
  <c r="I504" i="13"/>
  <c r="J504" i="13" s="1"/>
  <c r="I453" i="13"/>
  <c r="I482" i="13"/>
  <c r="J482" i="13" s="1"/>
  <c r="I483" i="13"/>
  <c r="J483" i="13" s="1"/>
  <c r="I492" i="13"/>
  <c r="J492" i="13" s="1"/>
  <c r="I447" i="13"/>
  <c r="I489" i="13"/>
  <c r="J489" i="13" s="1"/>
  <c r="I462" i="13"/>
  <c r="J462" i="13" s="1"/>
  <c r="I490" i="13"/>
  <c r="J490" i="13" s="1"/>
  <c r="I491" i="13"/>
  <c r="J491" i="13" s="1"/>
  <c r="I500" i="13"/>
  <c r="J500" i="13" s="1"/>
  <c r="I454" i="13"/>
  <c r="I455" i="13"/>
  <c r="J455" i="13" s="1"/>
  <c r="I456" i="13"/>
  <c r="J456" i="13" s="1"/>
  <c r="I497" i="13"/>
  <c r="J497" i="13" s="1"/>
  <c r="I499" i="13"/>
  <c r="J499" i="13" s="1"/>
  <c r="I505" i="13"/>
  <c r="J505" i="13" s="1"/>
  <c r="I506" i="13"/>
  <c r="J506" i="13" s="1"/>
  <c r="I452" i="13"/>
  <c r="I461" i="13"/>
  <c r="J461" i="13" s="1"/>
  <c r="I470" i="13"/>
  <c r="J470" i="13" s="1"/>
  <c r="I471" i="13"/>
  <c r="J471" i="13" s="1"/>
  <c r="I450" i="13"/>
  <c r="I472" i="13"/>
  <c r="J472" i="13" s="1"/>
  <c r="I498" i="13"/>
  <c r="J498" i="13" s="1"/>
  <c r="M436" i="13"/>
  <c r="M437" i="13" s="1"/>
  <c r="M454" i="13"/>
  <c r="I924" i="13"/>
  <c r="J924" i="13" s="1"/>
  <c r="I925" i="13"/>
  <c r="J925" i="13" s="1"/>
  <c r="I926" i="13"/>
  <c r="J926" i="13" s="1"/>
  <c r="I935" i="13"/>
  <c r="J935" i="13" s="1"/>
  <c r="I889" i="13"/>
  <c r="J889" i="13" s="1"/>
  <c r="I890" i="13"/>
  <c r="J890" i="13" s="1"/>
  <c r="I891" i="13"/>
  <c r="J891" i="13" s="1"/>
  <c r="I932" i="13"/>
  <c r="J932" i="13" s="1"/>
  <c r="I933" i="13"/>
  <c r="J933" i="13" s="1"/>
  <c r="I934" i="13"/>
  <c r="J934" i="13" s="1"/>
  <c r="I888" i="13"/>
  <c r="I897" i="13"/>
  <c r="J897" i="13" s="1"/>
  <c r="I898" i="13"/>
  <c r="J898" i="13" s="1"/>
  <c r="I899" i="13"/>
  <c r="J899" i="13" s="1"/>
  <c r="I940" i="13"/>
  <c r="J940" i="13" s="1"/>
  <c r="I941" i="13"/>
  <c r="J941" i="13" s="1"/>
  <c r="I887" i="13"/>
  <c r="I896" i="13"/>
  <c r="J896" i="13" s="1"/>
  <c r="I905" i="13"/>
  <c r="J905" i="13" s="1"/>
  <c r="I906" i="13"/>
  <c r="J906" i="13" s="1"/>
  <c r="I907" i="13"/>
  <c r="J907" i="13" s="1"/>
  <c r="I882" i="13"/>
  <c r="I883" i="13"/>
  <c r="I886" i="13"/>
  <c r="I895" i="13"/>
  <c r="J895" i="13" s="1"/>
  <c r="I904" i="13"/>
  <c r="J904" i="13" s="1"/>
  <c r="I913" i="13"/>
  <c r="J913" i="13" s="1"/>
  <c r="I914" i="13"/>
  <c r="J914" i="13" s="1"/>
  <c r="I915" i="13"/>
  <c r="J915" i="13" s="1"/>
  <c r="I892" i="13"/>
  <c r="J892" i="13" s="1"/>
  <c r="I893" i="13"/>
  <c r="J893" i="13" s="1"/>
  <c r="I894" i="13"/>
  <c r="J894" i="13" s="1"/>
  <c r="I903" i="13"/>
  <c r="J903" i="13" s="1"/>
  <c r="I912" i="13"/>
  <c r="J912" i="13" s="1"/>
  <c r="I921" i="13"/>
  <c r="J921" i="13" s="1"/>
  <c r="I922" i="13"/>
  <c r="J922" i="13" s="1"/>
  <c r="I923" i="13"/>
  <c r="J923" i="13" s="1"/>
  <c r="I900" i="13"/>
  <c r="J900" i="13" s="1"/>
  <c r="I901" i="13"/>
  <c r="J901" i="13" s="1"/>
  <c r="I902" i="13"/>
  <c r="J902" i="13" s="1"/>
  <c r="I911" i="13"/>
  <c r="J911" i="13" s="1"/>
  <c r="I920" i="13"/>
  <c r="J920" i="13" s="1"/>
  <c r="I929" i="13"/>
  <c r="J929" i="13" s="1"/>
  <c r="I930" i="13"/>
  <c r="J930" i="13" s="1"/>
  <c r="I931" i="13"/>
  <c r="J931" i="13" s="1"/>
  <c r="I916" i="13"/>
  <c r="J916" i="13" s="1"/>
  <c r="I917" i="13"/>
  <c r="J917" i="13" s="1"/>
  <c r="I918" i="13"/>
  <c r="J918" i="13" s="1"/>
  <c r="I927" i="13"/>
  <c r="J927" i="13" s="1"/>
  <c r="I936" i="13"/>
  <c r="J936" i="13" s="1"/>
  <c r="I884" i="13"/>
  <c r="I885" i="13"/>
  <c r="I919" i="13"/>
  <c r="J919" i="13" s="1"/>
  <c r="I928" i="13"/>
  <c r="J928" i="13" s="1"/>
  <c r="I909" i="13"/>
  <c r="J909" i="13" s="1"/>
  <c r="I937" i="13"/>
  <c r="J937" i="13" s="1"/>
  <c r="I938" i="13"/>
  <c r="J938" i="13" s="1"/>
  <c r="I939" i="13"/>
  <c r="J939" i="13" s="1"/>
  <c r="I908" i="13"/>
  <c r="J908" i="13" s="1"/>
  <c r="I910" i="13"/>
  <c r="J910" i="13" s="1"/>
  <c r="G251" i="20"/>
  <c r="M186" i="13"/>
  <c r="H246" i="13"/>
  <c r="I624" i="13"/>
  <c r="I625" i="13"/>
  <c r="I623" i="13"/>
  <c r="I621" i="13"/>
  <c r="I634" i="13"/>
  <c r="J634" i="13" s="1"/>
  <c r="I643" i="13"/>
  <c r="J643" i="13" s="1"/>
  <c r="I652" i="13"/>
  <c r="J652" i="13" s="1"/>
  <c r="I653" i="13"/>
  <c r="J653" i="13" s="1"/>
  <c r="I630" i="13"/>
  <c r="J630" i="13" s="1"/>
  <c r="I631" i="13"/>
  <c r="J631" i="13" s="1"/>
  <c r="I632" i="13"/>
  <c r="J632" i="13" s="1"/>
  <c r="I633" i="13"/>
  <c r="J633" i="13" s="1"/>
  <c r="I642" i="13"/>
  <c r="J642" i="13" s="1"/>
  <c r="I651" i="13"/>
  <c r="J651" i="13" s="1"/>
  <c r="I661" i="13"/>
  <c r="J661" i="13" s="1"/>
  <c r="I660" i="13"/>
  <c r="J660" i="13" s="1"/>
  <c r="I638" i="13"/>
  <c r="J638" i="13" s="1"/>
  <c r="I639" i="13"/>
  <c r="J639" i="13" s="1"/>
  <c r="I640" i="13"/>
  <c r="J640" i="13" s="1"/>
  <c r="I641" i="13"/>
  <c r="J641" i="13" s="1"/>
  <c r="I650" i="13"/>
  <c r="J650" i="13" s="1"/>
  <c r="I659" i="13"/>
  <c r="J659" i="13" s="1"/>
  <c r="I668" i="13"/>
  <c r="J668" i="13" s="1"/>
  <c r="I669" i="13"/>
  <c r="J669" i="13" s="1"/>
  <c r="I646" i="13"/>
  <c r="J646" i="13" s="1"/>
  <c r="I647" i="13"/>
  <c r="J647" i="13" s="1"/>
  <c r="I648" i="13"/>
  <c r="J648" i="13" s="1"/>
  <c r="I649" i="13"/>
  <c r="J649" i="13" s="1"/>
  <c r="I658" i="13"/>
  <c r="J658" i="13" s="1"/>
  <c r="I666" i="13"/>
  <c r="J666" i="13" s="1"/>
  <c r="I676" i="13"/>
  <c r="J676" i="13" s="1"/>
  <c r="I677" i="13"/>
  <c r="J677" i="13" s="1"/>
  <c r="I654" i="13"/>
  <c r="J654" i="13" s="1"/>
  <c r="I655" i="13"/>
  <c r="J655" i="13" s="1"/>
  <c r="I656" i="13"/>
  <c r="J656" i="13" s="1"/>
  <c r="I657" i="13"/>
  <c r="J657" i="13" s="1"/>
  <c r="I667" i="13"/>
  <c r="J667" i="13" s="1"/>
  <c r="I675" i="13"/>
  <c r="J675" i="13" s="1"/>
  <c r="I622" i="13"/>
  <c r="I662" i="13"/>
  <c r="J662" i="13" s="1"/>
  <c r="I663" i="13"/>
  <c r="J663" i="13" s="1"/>
  <c r="I664" i="13"/>
  <c r="J664" i="13" s="1"/>
  <c r="I665" i="13"/>
  <c r="J665" i="13" s="1"/>
  <c r="I674" i="13"/>
  <c r="J674" i="13" s="1"/>
  <c r="I628" i="13"/>
  <c r="I629" i="13"/>
  <c r="J629" i="13" s="1"/>
  <c r="I678" i="13"/>
  <c r="J678" i="13" s="1"/>
  <c r="I679" i="13"/>
  <c r="J679" i="13" s="1"/>
  <c r="I680" i="13"/>
  <c r="J680" i="13" s="1"/>
  <c r="I626" i="13"/>
  <c r="I635" i="13"/>
  <c r="J635" i="13" s="1"/>
  <c r="I644" i="13"/>
  <c r="J644" i="13" s="1"/>
  <c r="I645" i="13"/>
  <c r="J645" i="13" s="1"/>
  <c r="I670" i="13"/>
  <c r="J670" i="13" s="1"/>
  <c r="I671" i="13"/>
  <c r="J671" i="13" s="1"/>
  <c r="I672" i="13"/>
  <c r="J672" i="13" s="1"/>
  <c r="I673" i="13"/>
  <c r="J673" i="13" s="1"/>
  <c r="I627" i="13"/>
  <c r="I637" i="13"/>
  <c r="J637" i="13" s="1"/>
  <c r="I636" i="13"/>
  <c r="J636" i="13" s="1"/>
  <c r="G1061" i="20"/>
  <c r="I559" i="13"/>
  <c r="J559" i="13" s="1"/>
  <c r="I560" i="13"/>
  <c r="J560" i="13" s="1"/>
  <c r="I575" i="13"/>
  <c r="J575" i="13" s="1"/>
  <c r="I584" i="13"/>
  <c r="J584" i="13" s="1"/>
  <c r="I585" i="13"/>
  <c r="J585" i="13" s="1"/>
  <c r="I586" i="13"/>
  <c r="J586" i="13" s="1"/>
  <c r="I540" i="13"/>
  <c r="I549" i="13"/>
  <c r="J549" i="13" s="1"/>
  <c r="I550" i="13"/>
  <c r="J550" i="13" s="1"/>
  <c r="I592" i="13"/>
  <c r="J592" i="13" s="1"/>
  <c r="I539" i="13"/>
  <c r="I548" i="13"/>
  <c r="J548" i="13" s="1"/>
  <c r="I558" i="13"/>
  <c r="J558" i="13" s="1"/>
  <c r="I583" i="13"/>
  <c r="J583" i="13" s="1"/>
  <c r="I593" i="13"/>
  <c r="J593" i="13" s="1"/>
  <c r="I557" i="13"/>
  <c r="J557" i="13" s="1"/>
  <c r="I569" i="13"/>
  <c r="J569" i="13" s="1"/>
  <c r="I591" i="13"/>
  <c r="J591" i="13" s="1"/>
  <c r="I537" i="13"/>
  <c r="I538" i="13"/>
  <c r="I547" i="13"/>
  <c r="J547" i="13" s="1"/>
  <c r="I556" i="13"/>
  <c r="J556" i="13" s="1"/>
  <c r="I565" i="13"/>
  <c r="J565" i="13" s="1"/>
  <c r="I566" i="13"/>
  <c r="J566" i="13" s="1"/>
  <c r="I534" i="13"/>
  <c r="I545" i="13"/>
  <c r="J545" i="13" s="1"/>
  <c r="I546" i="13"/>
  <c r="J546" i="13" s="1"/>
  <c r="I555" i="13"/>
  <c r="J555" i="13" s="1"/>
  <c r="I564" i="13"/>
  <c r="J564" i="13" s="1"/>
  <c r="I573" i="13"/>
  <c r="J573" i="13" s="1"/>
  <c r="I574" i="13"/>
  <c r="J574" i="13" s="1"/>
  <c r="I579" i="13"/>
  <c r="J579" i="13" s="1"/>
  <c r="I536" i="13"/>
  <c r="I544" i="13"/>
  <c r="J544" i="13" s="1"/>
  <c r="I553" i="13"/>
  <c r="J553" i="13" s="1"/>
  <c r="I554" i="13"/>
  <c r="J554" i="13" s="1"/>
  <c r="I563" i="13"/>
  <c r="J563" i="13" s="1"/>
  <c r="I572" i="13"/>
  <c r="J572" i="13" s="1"/>
  <c r="I581" i="13"/>
  <c r="J581" i="13" s="1"/>
  <c r="I582" i="13"/>
  <c r="J582" i="13" s="1"/>
  <c r="I568" i="13"/>
  <c r="J568" i="13" s="1"/>
  <c r="I588" i="13"/>
  <c r="J588" i="13" s="1"/>
  <c r="I543" i="13"/>
  <c r="J543" i="13" s="1"/>
  <c r="I552" i="13"/>
  <c r="J552" i="13" s="1"/>
  <c r="I561" i="13"/>
  <c r="J561" i="13" s="1"/>
  <c r="I562" i="13"/>
  <c r="J562" i="13" s="1"/>
  <c r="I571" i="13"/>
  <c r="J571" i="13" s="1"/>
  <c r="I580" i="13"/>
  <c r="J580" i="13" s="1"/>
  <c r="I589" i="13"/>
  <c r="J589" i="13" s="1"/>
  <c r="I590" i="13"/>
  <c r="J590" i="13" s="1"/>
  <c r="I570" i="13"/>
  <c r="J570" i="13" s="1"/>
  <c r="I535" i="13"/>
  <c r="I567" i="13"/>
  <c r="J567" i="13" s="1"/>
  <c r="I576" i="13"/>
  <c r="J576" i="13" s="1"/>
  <c r="I577" i="13"/>
  <c r="J577" i="13" s="1"/>
  <c r="I578" i="13"/>
  <c r="J578" i="13" s="1"/>
  <c r="I587" i="13"/>
  <c r="J587" i="13" s="1"/>
  <c r="I541" i="13"/>
  <c r="I542" i="13"/>
  <c r="J542" i="13" s="1"/>
  <c r="I551" i="13"/>
  <c r="J551" i="13" s="1"/>
  <c r="M100" i="13"/>
  <c r="H160" i="13"/>
  <c r="I801" i="13"/>
  <c r="I810" i="13"/>
  <c r="J810" i="13" s="1"/>
  <c r="I811" i="13"/>
  <c r="J811" i="13" s="1"/>
  <c r="I812" i="13"/>
  <c r="J812" i="13" s="1"/>
  <c r="I813" i="13"/>
  <c r="J813" i="13" s="1"/>
  <c r="I814" i="13"/>
  <c r="J814" i="13" s="1"/>
  <c r="I815" i="13"/>
  <c r="J815" i="13" s="1"/>
  <c r="I824" i="13"/>
  <c r="J824" i="13" s="1"/>
  <c r="I809" i="13"/>
  <c r="J809" i="13" s="1"/>
  <c r="I818" i="13"/>
  <c r="J818" i="13" s="1"/>
  <c r="I819" i="13"/>
  <c r="J819" i="13" s="1"/>
  <c r="I820" i="13"/>
  <c r="J820" i="13" s="1"/>
  <c r="I821" i="13"/>
  <c r="J821" i="13" s="1"/>
  <c r="I822" i="13"/>
  <c r="J822" i="13" s="1"/>
  <c r="I823" i="13"/>
  <c r="J823" i="13" s="1"/>
  <c r="I826" i="13"/>
  <c r="J826" i="13" s="1"/>
  <c r="I827" i="13"/>
  <c r="J827" i="13" s="1"/>
  <c r="I828" i="13"/>
  <c r="J828" i="13" s="1"/>
  <c r="I829" i="13"/>
  <c r="J829" i="13" s="1"/>
  <c r="I831" i="13"/>
  <c r="J831" i="13" s="1"/>
  <c r="I840" i="13"/>
  <c r="J840" i="13" s="1"/>
  <c r="I836" i="13"/>
  <c r="J836" i="13" s="1"/>
  <c r="I838" i="13"/>
  <c r="J838" i="13" s="1"/>
  <c r="I839" i="13"/>
  <c r="J839" i="13" s="1"/>
  <c r="I833" i="13"/>
  <c r="J833" i="13" s="1"/>
  <c r="I846" i="13"/>
  <c r="J846" i="13" s="1"/>
  <c r="I850" i="13"/>
  <c r="J850" i="13" s="1"/>
  <c r="I795" i="13"/>
  <c r="I832" i="13"/>
  <c r="J832" i="13" s="1"/>
  <c r="I842" i="13"/>
  <c r="J842" i="13" s="1"/>
  <c r="I845" i="13"/>
  <c r="J845" i="13" s="1"/>
  <c r="I847" i="13"/>
  <c r="J847" i="13" s="1"/>
  <c r="I841" i="13"/>
  <c r="J841" i="13" s="1"/>
  <c r="I800" i="13"/>
  <c r="I799" i="13"/>
  <c r="I817" i="13"/>
  <c r="J817" i="13" s="1"/>
  <c r="I830" i="13"/>
  <c r="J830" i="13" s="1"/>
  <c r="I844" i="13"/>
  <c r="J844" i="13" s="1"/>
  <c r="I854" i="13"/>
  <c r="J854" i="13" s="1"/>
  <c r="I825" i="13"/>
  <c r="J825" i="13" s="1"/>
  <c r="I834" i="13"/>
  <c r="J834" i="13" s="1"/>
  <c r="I835" i="13"/>
  <c r="J835" i="13" s="1"/>
  <c r="I837" i="13"/>
  <c r="J837" i="13" s="1"/>
  <c r="I848" i="13"/>
  <c r="J848" i="13" s="1"/>
  <c r="I853" i="13"/>
  <c r="J853" i="13" s="1"/>
  <c r="I796" i="13"/>
  <c r="J796" i="13" s="1"/>
  <c r="I808" i="13"/>
  <c r="J808" i="13" s="1"/>
  <c r="I843" i="13"/>
  <c r="J843" i="13" s="1"/>
  <c r="I852" i="13"/>
  <c r="J852" i="13" s="1"/>
  <c r="I849" i="13"/>
  <c r="J849" i="13" s="1"/>
  <c r="I851" i="13"/>
  <c r="J851" i="13" s="1"/>
  <c r="I797" i="13"/>
  <c r="I798" i="13"/>
  <c r="I803" i="13"/>
  <c r="I802" i="13"/>
  <c r="I804" i="13"/>
  <c r="J804" i="13" s="1"/>
  <c r="I805" i="13"/>
  <c r="J805" i="13" s="1"/>
  <c r="I806" i="13"/>
  <c r="J806" i="13" s="1"/>
  <c r="I807" i="13"/>
  <c r="J807" i="13" s="1"/>
  <c r="I816" i="13"/>
  <c r="J816" i="13" s="1"/>
  <c r="M349" i="13"/>
  <c r="M350" i="13" s="1"/>
  <c r="M367" i="13"/>
  <c r="M360" i="13"/>
  <c r="H420" i="13"/>
  <c r="I1019" i="13"/>
  <c r="J1019" i="13" s="1"/>
  <c r="I1020" i="13"/>
  <c r="J1020" i="13" s="1"/>
  <c r="I1021" i="13"/>
  <c r="J1021" i="13" s="1"/>
  <c r="I975" i="13"/>
  <c r="J975" i="13" s="1"/>
  <c r="I984" i="13"/>
  <c r="J984" i="13" s="1"/>
  <c r="I985" i="13"/>
  <c r="J985" i="13" s="1"/>
  <c r="I986" i="13"/>
  <c r="J986" i="13" s="1"/>
  <c r="I1027" i="13"/>
  <c r="J1027" i="13" s="1"/>
  <c r="I1028" i="13"/>
  <c r="J1028" i="13" s="1"/>
  <c r="I974" i="13"/>
  <c r="I983" i="13"/>
  <c r="J983" i="13" s="1"/>
  <c r="I992" i="13"/>
  <c r="J992" i="13" s="1"/>
  <c r="I993" i="13"/>
  <c r="J993" i="13" s="1"/>
  <c r="I994" i="13"/>
  <c r="J994" i="13" s="1"/>
  <c r="I970" i="13"/>
  <c r="I972" i="13"/>
  <c r="I973" i="13"/>
  <c r="I982" i="13"/>
  <c r="J982" i="13" s="1"/>
  <c r="I991" i="13"/>
  <c r="J991" i="13" s="1"/>
  <c r="I1000" i="13"/>
  <c r="J1000" i="13" s="1"/>
  <c r="I1001" i="13"/>
  <c r="J1001" i="13" s="1"/>
  <c r="I1002" i="13"/>
  <c r="J1002" i="13" s="1"/>
  <c r="I979" i="13"/>
  <c r="J979" i="13" s="1"/>
  <c r="I980" i="13"/>
  <c r="J980" i="13" s="1"/>
  <c r="I981" i="13"/>
  <c r="J981" i="13" s="1"/>
  <c r="I990" i="13"/>
  <c r="J990" i="13" s="1"/>
  <c r="I999" i="13"/>
  <c r="J999" i="13" s="1"/>
  <c r="I1008" i="13"/>
  <c r="J1008" i="13" s="1"/>
  <c r="I1009" i="13"/>
  <c r="J1009" i="13" s="1"/>
  <c r="I1010" i="13"/>
  <c r="J1010" i="13" s="1"/>
  <c r="I987" i="13"/>
  <c r="J987" i="13" s="1"/>
  <c r="I988" i="13"/>
  <c r="J988" i="13" s="1"/>
  <c r="I989" i="13"/>
  <c r="J989" i="13" s="1"/>
  <c r="I998" i="13"/>
  <c r="J998" i="13" s="1"/>
  <c r="I1007" i="13"/>
  <c r="J1007" i="13" s="1"/>
  <c r="I1016" i="13"/>
  <c r="J1016" i="13" s="1"/>
  <c r="I1017" i="13"/>
  <c r="J1017" i="13" s="1"/>
  <c r="I1018" i="13"/>
  <c r="J1018" i="13" s="1"/>
  <c r="I995" i="13"/>
  <c r="J995" i="13" s="1"/>
  <c r="I996" i="13"/>
  <c r="J996" i="13" s="1"/>
  <c r="I997" i="13"/>
  <c r="J997" i="13" s="1"/>
  <c r="I1006" i="13"/>
  <c r="J1006" i="13" s="1"/>
  <c r="I1015" i="13"/>
  <c r="J1015" i="13" s="1"/>
  <c r="I1024" i="13"/>
  <c r="J1024" i="13" s="1"/>
  <c r="I1025" i="13"/>
  <c r="J1025" i="13" s="1"/>
  <c r="I1026" i="13"/>
  <c r="J1026" i="13" s="1"/>
  <c r="I1011" i="13"/>
  <c r="J1011" i="13" s="1"/>
  <c r="I1012" i="13"/>
  <c r="J1012" i="13" s="1"/>
  <c r="I1013" i="13"/>
  <c r="J1013" i="13" s="1"/>
  <c r="I1022" i="13"/>
  <c r="J1022" i="13" s="1"/>
  <c r="I976" i="13"/>
  <c r="J976" i="13" s="1"/>
  <c r="I977" i="13"/>
  <c r="J977" i="13" s="1"/>
  <c r="I978" i="13"/>
  <c r="J978" i="13" s="1"/>
  <c r="I1014" i="13"/>
  <c r="J1014" i="13" s="1"/>
  <c r="I1023" i="13"/>
  <c r="J1023" i="13" s="1"/>
  <c r="I971" i="13"/>
  <c r="I969" i="13"/>
  <c r="I1004" i="13"/>
  <c r="J1004" i="13" s="1"/>
  <c r="I1003" i="13"/>
  <c r="J1003" i="13" s="1"/>
  <c r="I1005" i="13"/>
  <c r="J1005" i="13" s="1"/>
  <c r="M621" i="13"/>
  <c r="H681" i="13"/>
  <c r="I711" i="13"/>
  <c r="I708" i="13"/>
  <c r="I721" i="13"/>
  <c r="J721" i="13" s="1"/>
  <c r="I730" i="13"/>
  <c r="J730" i="13" s="1"/>
  <c r="I739" i="13"/>
  <c r="J739" i="13" s="1"/>
  <c r="I740" i="13"/>
  <c r="J740" i="13" s="1"/>
  <c r="I741" i="13"/>
  <c r="J741" i="13" s="1"/>
  <c r="I742" i="13"/>
  <c r="J742" i="13" s="1"/>
  <c r="I719" i="13"/>
  <c r="J719" i="13" s="1"/>
  <c r="I720" i="13"/>
  <c r="J720" i="13" s="1"/>
  <c r="I728" i="13"/>
  <c r="J728" i="13" s="1"/>
  <c r="I738" i="13"/>
  <c r="J738" i="13" s="1"/>
  <c r="I747" i="13"/>
  <c r="J747" i="13" s="1"/>
  <c r="I748" i="13"/>
  <c r="J748" i="13" s="1"/>
  <c r="I749" i="13"/>
  <c r="J749" i="13" s="1"/>
  <c r="I750" i="13"/>
  <c r="J750" i="13" s="1"/>
  <c r="I727" i="13"/>
  <c r="J727" i="13" s="1"/>
  <c r="I729" i="13"/>
  <c r="J729" i="13" s="1"/>
  <c r="I737" i="13"/>
  <c r="J737" i="13" s="1"/>
  <c r="I746" i="13"/>
  <c r="J746" i="13" s="1"/>
  <c r="I755" i="13"/>
  <c r="J755" i="13" s="1"/>
  <c r="I756" i="13"/>
  <c r="J756" i="13" s="1"/>
  <c r="I757" i="13"/>
  <c r="J757" i="13" s="1"/>
  <c r="I758" i="13"/>
  <c r="J758" i="13" s="1"/>
  <c r="I735" i="13"/>
  <c r="J735" i="13" s="1"/>
  <c r="I736" i="13"/>
  <c r="J736" i="13" s="1"/>
  <c r="I745" i="13"/>
  <c r="J745" i="13" s="1"/>
  <c r="I754" i="13"/>
  <c r="J754" i="13" s="1"/>
  <c r="I763" i="13"/>
  <c r="J763" i="13" s="1"/>
  <c r="I764" i="13"/>
  <c r="J764" i="13" s="1"/>
  <c r="I765" i="13"/>
  <c r="J765" i="13" s="1"/>
  <c r="I766" i="13"/>
  <c r="J766" i="13" s="1"/>
  <c r="I743" i="13"/>
  <c r="J743" i="13" s="1"/>
  <c r="I744" i="13"/>
  <c r="J744" i="13" s="1"/>
  <c r="I753" i="13"/>
  <c r="J753" i="13" s="1"/>
  <c r="I762" i="13"/>
  <c r="J762" i="13" s="1"/>
  <c r="I710" i="13"/>
  <c r="I709" i="13"/>
  <c r="I712" i="13"/>
  <c r="I751" i="13"/>
  <c r="J751" i="13" s="1"/>
  <c r="I752" i="13"/>
  <c r="J752" i="13" s="1"/>
  <c r="I761" i="13"/>
  <c r="J761" i="13" s="1"/>
  <c r="I715" i="13"/>
  <c r="I716" i="13"/>
  <c r="J716" i="13" s="1"/>
  <c r="I717" i="13"/>
  <c r="J717" i="13" s="1"/>
  <c r="I718" i="13"/>
  <c r="J718" i="13" s="1"/>
  <c r="I767" i="13"/>
  <c r="J767" i="13" s="1"/>
  <c r="I713" i="13"/>
  <c r="I722" i="13"/>
  <c r="J722" i="13" s="1"/>
  <c r="I731" i="13"/>
  <c r="J731" i="13" s="1"/>
  <c r="I732" i="13"/>
  <c r="J732" i="13" s="1"/>
  <c r="I733" i="13"/>
  <c r="J733" i="13" s="1"/>
  <c r="I734" i="13"/>
  <c r="J734" i="13" s="1"/>
  <c r="I723" i="13"/>
  <c r="J723" i="13" s="1"/>
  <c r="I724" i="13"/>
  <c r="J724" i="13" s="1"/>
  <c r="I725" i="13"/>
  <c r="J725" i="13" s="1"/>
  <c r="I726" i="13"/>
  <c r="J726" i="13" s="1"/>
  <c r="I760" i="13"/>
  <c r="J760" i="13" s="1"/>
  <c r="I759" i="13"/>
  <c r="J759" i="13" s="1"/>
  <c r="I714" i="13"/>
  <c r="M871" i="13"/>
  <c r="M872" i="13" s="1"/>
  <c r="M888" i="13"/>
  <c r="G791" i="20"/>
  <c r="G701" i="20"/>
  <c r="G341" i="20"/>
  <c r="M447" i="13"/>
  <c r="H507" i="13"/>
  <c r="G431" i="20"/>
  <c r="H1029" i="13"/>
  <c r="M969" i="13"/>
  <c r="M273" i="13"/>
  <c r="H333" i="13"/>
  <c r="M534" i="13"/>
  <c r="H594" i="13"/>
  <c r="M541" i="13"/>
  <c r="M523" i="13"/>
  <c r="M524" i="13" s="1"/>
  <c r="M708" i="13"/>
  <c r="H768" i="13"/>
  <c r="M715" i="13"/>
  <c r="M697" i="13"/>
  <c r="M698" i="13" s="1"/>
  <c r="G881" i="20"/>
  <c r="H284" i="20"/>
  <c r="I284" i="20" s="1"/>
  <c r="H1003" i="20"/>
  <c r="I1003" i="20" s="1"/>
  <c r="H102" i="20"/>
  <c r="I102" i="20" s="1"/>
  <c r="H738" i="20"/>
  <c r="H197" i="20"/>
  <c r="I197" i="20" s="1"/>
  <c r="H919" i="20"/>
  <c r="I919" i="20" s="1"/>
  <c r="H116" i="20"/>
  <c r="I116" i="20" s="1"/>
  <c r="H480" i="20"/>
  <c r="I480" i="20" s="1"/>
  <c r="H216" i="20"/>
  <c r="I216" i="20" s="1"/>
  <c r="H407" i="20"/>
  <c r="I407" i="20" s="1"/>
  <c r="H229" i="20"/>
  <c r="I229" i="20" s="1"/>
  <c r="H1043" i="20"/>
  <c r="I1043" i="20" s="1"/>
  <c r="H145" i="20"/>
  <c r="I145" i="20" s="1"/>
  <c r="H605" i="20"/>
  <c r="I605" i="20" s="1"/>
  <c r="H515" i="20"/>
  <c r="I515" i="20" s="1"/>
  <c r="H379" i="20"/>
  <c r="I379" i="20" s="1"/>
  <c r="H563" i="20"/>
  <c r="I563" i="20" s="1"/>
  <c r="H660" i="20"/>
  <c r="I660" i="20" s="1"/>
  <c r="H1027" i="20"/>
  <c r="I1027" i="20" s="1"/>
  <c r="H129" i="20"/>
  <c r="I129" i="20" s="1"/>
  <c r="H765" i="20"/>
  <c r="I765" i="20" s="1"/>
  <c r="H326" i="20"/>
  <c r="I326" i="20" s="1"/>
  <c r="H689" i="20"/>
  <c r="I689" i="20" s="1"/>
  <c r="H1055" i="20"/>
  <c r="I1055" i="20" s="1"/>
  <c r="H508" i="20"/>
  <c r="I508" i="20" s="1"/>
  <c r="H648" i="20"/>
  <c r="H204" i="20"/>
  <c r="I204" i="20" s="1"/>
  <c r="H750" i="20"/>
  <c r="I750" i="20" s="1"/>
  <c r="H400" i="20"/>
  <c r="I400" i="20" s="1"/>
  <c r="H314" i="20"/>
  <c r="I314" i="20" s="1"/>
  <c r="H946" i="20"/>
  <c r="I946" i="20" s="1"/>
  <c r="H866" i="20"/>
  <c r="I866" i="20" s="1"/>
  <c r="H427" i="20"/>
  <c r="I427" i="20" s="1"/>
  <c r="H337" i="20"/>
  <c r="I337" i="20" s="1"/>
  <c r="H600" i="20"/>
  <c r="I600" i="20" s="1"/>
  <c r="H824" i="20"/>
  <c r="I824" i="20" s="1"/>
  <c r="H295" i="20"/>
  <c r="I295" i="20" s="1"/>
  <c r="H301" i="20"/>
  <c r="I301" i="20" s="1"/>
  <c r="H665" i="20"/>
  <c r="I665" i="20" s="1"/>
  <c r="H406" i="20"/>
  <c r="I406" i="20" s="1"/>
  <c r="H859" i="20"/>
  <c r="I859" i="20" s="1"/>
  <c r="H951" i="20"/>
  <c r="I951" i="20" s="1"/>
  <c r="H957" i="20"/>
  <c r="I957" i="20" s="1"/>
  <c r="H968" i="20"/>
  <c r="I968" i="20" s="1"/>
  <c r="H649" i="20"/>
  <c r="I649" i="20" s="1"/>
  <c r="H386" i="20"/>
  <c r="I386" i="20" s="1"/>
  <c r="H930" i="20"/>
  <c r="I930" i="20" s="1"/>
  <c r="H308" i="20"/>
  <c r="I308" i="20" s="1"/>
  <c r="H1033" i="20"/>
  <c r="I1033" i="20" s="1"/>
  <c r="H1038" i="20"/>
  <c r="I1038" i="20" s="1"/>
  <c r="H1044" i="20"/>
  <c r="I1044" i="20" s="1"/>
  <c r="H428" i="20"/>
  <c r="I428" i="20" s="1"/>
  <c r="H247" i="20"/>
  <c r="I247" i="20" s="1"/>
  <c r="H1004" i="20"/>
  <c r="I1004" i="20" s="1"/>
  <c r="H472" i="20"/>
  <c r="I472" i="20" s="1"/>
  <c r="H566" i="20"/>
  <c r="I566" i="20" s="1"/>
  <c r="H123" i="20"/>
  <c r="I123" i="20" s="1"/>
  <c r="H312" i="20"/>
  <c r="I312" i="20" s="1"/>
  <c r="H943" i="20"/>
  <c r="I943" i="20" s="1"/>
  <c r="H590" i="20"/>
  <c r="I590" i="20" s="1"/>
  <c r="H424" i="20"/>
  <c r="I424" i="20" s="1"/>
  <c r="H877" i="20"/>
  <c r="I877" i="20" s="1"/>
  <c r="H609" i="20"/>
  <c r="I609" i="20" s="1"/>
  <c r="H1005" i="20"/>
  <c r="I1005" i="20" s="1"/>
  <c r="H652" i="20"/>
  <c r="I652" i="20" s="1"/>
  <c r="H208" i="20"/>
  <c r="I208" i="20" s="1"/>
  <c r="H846" i="20"/>
  <c r="I846" i="20" s="1"/>
  <c r="H670" i="20"/>
  <c r="I670" i="20" s="1"/>
  <c r="H104" i="20"/>
  <c r="I104" i="20" s="1"/>
  <c r="H465" i="20"/>
  <c r="I465" i="20" s="1"/>
  <c r="H643" i="20"/>
  <c r="I643" i="20" s="1"/>
  <c r="H1009" i="20"/>
  <c r="I1009" i="20" s="1"/>
  <c r="H103" i="20"/>
  <c r="I103" i="20" s="1"/>
  <c r="H199" i="20"/>
  <c r="H205" i="20"/>
  <c r="I205" i="20" s="1"/>
  <c r="H481" i="20"/>
  <c r="I481" i="20" s="1"/>
  <c r="H486" i="20"/>
  <c r="I486" i="20" s="1"/>
  <c r="H941" i="20"/>
  <c r="I941" i="20" s="1"/>
  <c r="H861" i="20"/>
  <c r="I861" i="20" s="1"/>
  <c r="H868" i="20"/>
  <c r="I868" i="20" s="1"/>
  <c r="H690" i="20"/>
  <c r="I690" i="20" s="1"/>
  <c r="H784" i="20"/>
  <c r="I784" i="20" s="1"/>
  <c r="H700" i="20"/>
  <c r="I700" i="20" s="1"/>
  <c r="H739" i="20"/>
  <c r="I739" i="20" s="1"/>
  <c r="H925" i="20"/>
  <c r="I925" i="20" s="1"/>
  <c r="H121" i="20"/>
  <c r="I121" i="20" s="1"/>
  <c r="H125" i="20"/>
  <c r="I125" i="20" s="1"/>
  <c r="H673" i="20"/>
  <c r="I673" i="20" s="1"/>
  <c r="H414" i="20"/>
  <c r="I414" i="20" s="1"/>
  <c r="H684" i="20"/>
  <c r="I684" i="20" s="1"/>
  <c r="H241" i="20"/>
  <c r="I241" i="20" s="1"/>
  <c r="H151" i="20"/>
  <c r="I151" i="20" s="1"/>
  <c r="H970" i="20"/>
  <c r="I970" i="20" s="1"/>
  <c r="H110" i="20"/>
  <c r="I110" i="20" s="1"/>
  <c r="H1015" i="20"/>
  <c r="I1015" i="20" s="1"/>
  <c r="H211" i="20"/>
  <c r="I211" i="20" s="1"/>
  <c r="H849" i="20"/>
  <c r="I849" i="20" s="1"/>
  <c r="H130" i="20"/>
  <c r="I130" i="20" s="1"/>
  <c r="H947" i="20"/>
  <c r="I947" i="20" s="1"/>
  <c r="H139" i="20"/>
  <c r="I139" i="20" s="1"/>
  <c r="H599" i="20"/>
  <c r="I599" i="20" s="1"/>
  <c r="H606" i="20"/>
  <c r="I606" i="20" s="1"/>
  <c r="H607" i="20"/>
  <c r="I607" i="20" s="1"/>
  <c r="H918" i="20"/>
  <c r="I918" i="20" s="1"/>
  <c r="H1014" i="20"/>
  <c r="I1014" i="20" s="1"/>
  <c r="H843" i="20"/>
  <c r="I843" i="20" s="1"/>
  <c r="H485" i="20"/>
  <c r="I485" i="20" s="1"/>
  <c r="H221" i="20"/>
  <c r="I221" i="20" s="1"/>
  <c r="H588" i="20"/>
  <c r="I588" i="20" s="1"/>
  <c r="H771" i="20"/>
  <c r="I771" i="20" s="1"/>
  <c r="H777" i="20"/>
  <c r="I777" i="20" s="1"/>
  <c r="H106" i="20"/>
  <c r="I106" i="20" s="1"/>
  <c r="H381" i="20"/>
  <c r="I381" i="20" s="1"/>
  <c r="H1016" i="20"/>
  <c r="I1016" i="20" s="1"/>
  <c r="H1022" i="20"/>
  <c r="I1022" i="20" s="1"/>
  <c r="H850" i="20"/>
  <c r="I850" i="20" s="1"/>
  <c r="H585" i="20"/>
  <c r="I585" i="20" s="1"/>
  <c r="H135" i="20"/>
  <c r="I135" i="20" s="1"/>
  <c r="H422" i="20"/>
  <c r="I422" i="20" s="1"/>
  <c r="H333" i="20"/>
  <c r="I333" i="20" s="1"/>
  <c r="H735" i="20"/>
  <c r="I735" i="20" s="1"/>
  <c r="H827" i="20"/>
  <c r="I827" i="20" s="1"/>
  <c r="H642" i="20"/>
  <c r="I642" i="20" s="1"/>
  <c r="H380" i="20"/>
  <c r="I380" i="20" s="1"/>
  <c r="H105" i="20"/>
  <c r="I105" i="20" s="1"/>
  <c r="H471" i="20"/>
  <c r="I471" i="20" s="1"/>
  <c r="H388" i="20"/>
  <c r="I388" i="20" s="1"/>
  <c r="H931" i="20"/>
  <c r="I931" i="20" s="1"/>
  <c r="H126" i="20"/>
  <c r="I126" i="20" s="1"/>
  <c r="H409" i="20"/>
  <c r="I409" i="20" s="1"/>
  <c r="H1039" i="20"/>
  <c r="I1039" i="20" s="1"/>
  <c r="H328" i="20"/>
  <c r="I328" i="20" s="1"/>
  <c r="H691" i="20"/>
  <c r="I691" i="20" s="1"/>
  <c r="H339" i="20"/>
  <c r="I339" i="20" s="1"/>
  <c r="H914" i="20"/>
  <c r="I914" i="20" s="1"/>
  <c r="H111" i="20"/>
  <c r="I111" i="20" s="1"/>
  <c r="H837" i="20"/>
  <c r="I837" i="20" s="1"/>
  <c r="H662" i="20"/>
  <c r="I662" i="20" s="1"/>
  <c r="H668" i="20"/>
  <c r="I668" i="20" s="1"/>
  <c r="H856" i="20"/>
  <c r="I856" i="20" s="1"/>
  <c r="H589" i="20"/>
  <c r="I589" i="20" s="1"/>
  <c r="H140" i="20"/>
  <c r="I140" i="20" s="1"/>
  <c r="H1050" i="20"/>
  <c r="I1050" i="20" s="1"/>
  <c r="H248" i="20"/>
  <c r="I248" i="20" s="1"/>
  <c r="H196" i="20"/>
  <c r="I196" i="20" s="1"/>
  <c r="H831" i="20"/>
  <c r="I831" i="20" s="1"/>
  <c r="H387" i="20"/>
  <c r="I387" i="20" s="1"/>
  <c r="H392" i="20"/>
  <c r="I392" i="20" s="1"/>
  <c r="H310" i="20"/>
  <c r="I310" i="20" s="1"/>
  <c r="H408" i="20"/>
  <c r="I408" i="20" s="1"/>
  <c r="H948" i="20"/>
  <c r="I948" i="20" s="1"/>
  <c r="H503" i="20"/>
  <c r="I503" i="20" s="1"/>
  <c r="H959" i="20"/>
  <c r="I959" i="20" s="1"/>
  <c r="H696" i="20"/>
  <c r="I696" i="20" s="1"/>
  <c r="H160" i="20"/>
  <c r="I160" i="20" s="1"/>
  <c r="H559" i="20"/>
  <c r="I559" i="20" s="1"/>
  <c r="H744" i="20"/>
  <c r="I744" i="20" s="1"/>
  <c r="H302" i="20"/>
  <c r="I302" i="20" s="1"/>
  <c r="H309" i="20"/>
  <c r="I309" i="20" s="1"/>
  <c r="H222" i="20"/>
  <c r="I222" i="20" s="1"/>
  <c r="H322" i="20"/>
  <c r="I322" i="20" s="1"/>
  <c r="H953" i="20"/>
  <c r="I953" i="20" s="1"/>
  <c r="H509" i="20"/>
  <c r="I509" i="20" s="1"/>
  <c r="H913" i="20"/>
  <c r="I913" i="20" s="1"/>
  <c r="H283" i="20"/>
  <c r="I283" i="20" s="1"/>
  <c r="H829" i="20"/>
  <c r="H553" i="20"/>
  <c r="I553" i="20" s="1"/>
  <c r="H195" i="20"/>
  <c r="I195" i="20" s="1"/>
  <c r="H732" i="20"/>
  <c r="I732" i="20" s="1"/>
  <c r="H921" i="20"/>
  <c r="I921" i="20" s="1"/>
  <c r="H1017" i="20"/>
  <c r="I1017" i="20" s="1"/>
  <c r="H573" i="20"/>
  <c r="I573" i="20" s="1"/>
  <c r="H669" i="20"/>
  <c r="I669" i="20" s="1"/>
  <c r="H857" i="20"/>
  <c r="I857" i="20" s="1"/>
  <c r="H324" i="20"/>
  <c r="I324" i="20" s="1"/>
  <c r="H955" i="20"/>
  <c r="I955" i="20" s="1"/>
  <c r="H334" i="20"/>
  <c r="I334" i="20" s="1"/>
  <c r="H517" i="20"/>
  <c r="I517" i="20" s="1"/>
  <c r="H823" i="20"/>
  <c r="I823" i="20" s="1"/>
  <c r="H560" i="20"/>
  <c r="I560" i="20" s="1"/>
  <c r="H926" i="20"/>
  <c r="I926" i="20" s="1"/>
  <c r="H303" i="20"/>
  <c r="I303" i="20" s="1"/>
  <c r="H578" i="20"/>
  <c r="I578" i="20" s="1"/>
  <c r="H1034" i="20"/>
  <c r="I1034" i="20" s="1"/>
  <c r="H767" i="20"/>
  <c r="I767" i="20" s="1"/>
  <c r="H423" i="20"/>
  <c r="I423" i="20" s="1"/>
  <c r="H875" i="20"/>
  <c r="I875" i="20" s="1"/>
  <c r="H516" i="20"/>
  <c r="I516" i="20" s="1"/>
  <c r="H1001" i="20"/>
  <c r="H200" i="20"/>
  <c r="I200" i="20" s="1"/>
  <c r="H565" i="20"/>
  <c r="I565" i="20" s="1"/>
  <c r="H212" i="20"/>
  <c r="I212" i="20" s="1"/>
  <c r="H402" i="20"/>
  <c r="I402" i="20" s="1"/>
  <c r="H316" i="20"/>
  <c r="I316" i="20" s="1"/>
  <c r="H862" i="20"/>
  <c r="I862" i="20" s="1"/>
  <c r="H686" i="20"/>
  <c r="I686" i="20" s="1"/>
  <c r="H779" i="20"/>
  <c r="I779" i="20" s="1"/>
  <c r="H697" i="20"/>
  <c r="I697" i="20" s="1"/>
  <c r="H287" i="20"/>
  <c r="I287" i="20" s="1"/>
  <c r="H1010" i="20"/>
  <c r="I1010" i="20" s="1"/>
  <c r="H745" i="20"/>
  <c r="I745" i="20" s="1"/>
  <c r="H482" i="20"/>
  <c r="I482" i="20" s="1"/>
  <c r="H401" i="20"/>
  <c r="I401" i="20" s="1"/>
  <c r="H492" i="20"/>
  <c r="I492" i="20" s="1"/>
  <c r="H230" i="20"/>
  <c r="I230" i="20" s="1"/>
  <c r="H685" i="20"/>
  <c r="I685" i="20" s="1"/>
  <c r="H511" i="20"/>
  <c r="I511" i="20" s="1"/>
  <c r="H825" i="20"/>
  <c r="I825" i="20" s="1"/>
  <c r="H1012" i="20"/>
  <c r="I1012" i="20" s="1"/>
  <c r="H389" i="20"/>
  <c r="I389" i="20" s="1"/>
  <c r="H1024" i="20"/>
  <c r="I1024" i="20" s="1"/>
  <c r="H1030" i="20"/>
  <c r="I1030" i="20" s="1"/>
  <c r="H763" i="20"/>
  <c r="I763" i="20" s="1"/>
  <c r="H681" i="20"/>
  <c r="I681" i="20" s="1"/>
  <c r="H1046" i="20"/>
  <c r="I1046" i="20" s="1"/>
  <c r="H1052" i="20"/>
  <c r="I1052" i="20" s="1"/>
  <c r="H915" i="20"/>
  <c r="I915" i="20" s="1"/>
  <c r="H917" i="20"/>
  <c r="H830" i="20"/>
  <c r="I830" i="20" s="1"/>
  <c r="H378" i="20"/>
  <c r="H373" i="20"/>
  <c r="I373" i="20" s="1"/>
  <c r="H467" i="20"/>
  <c r="I467" i="20" s="1"/>
  <c r="H561" i="20"/>
  <c r="I561" i="20" s="1"/>
  <c r="H207" i="20"/>
  <c r="I207" i="20" s="1"/>
  <c r="H574" i="20"/>
  <c r="I574" i="20" s="1"/>
  <c r="H219" i="20"/>
  <c r="I219" i="20" s="1"/>
  <c r="H675" i="20"/>
  <c r="I675" i="20" s="1"/>
  <c r="H950" i="20"/>
  <c r="I950" i="20" s="1"/>
  <c r="H142" i="20"/>
  <c r="I142" i="20" s="1"/>
  <c r="H961" i="20"/>
  <c r="I961" i="20" s="1"/>
  <c r="H154" i="20"/>
  <c r="I154" i="20" s="1"/>
  <c r="H916" i="20"/>
  <c r="I916" i="20" s="1"/>
  <c r="H651" i="20"/>
  <c r="I651" i="20" s="1"/>
  <c r="H927" i="20"/>
  <c r="I927" i="20" s="1"/>
  <c r="H932" i="20"/>
  <c r="I932" i="20" s="1"/>
  <c r="H579" i="20"/>
  <c r="I579" i="20" s="1"/>
  <c r="H410" i="20"/>
  <c r="I410" i="20" s="1"/>
  <c r="H417" i="20"/>
  <c r="I417" i="20" s="1"/>
  <c r="H870" i="20"/>
  <c r="I870" i="20" s="1"/>
  <c r="H147" i="20"/>
  <c r="I147" i="20" s="1"/>
  <c r="H786" i="20"/>
  <c r="I786" i="20" s="1"/>
  <c r="H466" i="20"/>
  <c r="I466" i="20" s="1"/>
  <c r="H382" i="20"/>
  <c r="I382" i="20" s="1"/>
  <c r="H747" i="20"/>
  <c r="I747" i="20" s="1"/>
  <c r="H1023" i="20"/>
  <c r="I1023" i="20" s="1"/>
  <c r="H488" i="20"/>
  <c r="I488" i="20" s="1"/>
  <c r="H762" i="20"/>
  <c r="I762" i="20" s="1"/>
  <c r="H1040" i="20"/>
  <c r="I1040" i="20" s="1"/>
  <c r="H774" i="20"/>
  <c r="I774" i="20" s="1"/>
  <c r="H780" i="20"/>
  <c r="I780" i="20" s="1"/>
  <c r="H699" i="20"/>
  <c r="I699" i="20" s="1"/>
  <c r="H554" i="20"/>
  <c r="I554" i="20" s="1"/>
  <c r="H112" i="20"/>
  <c r="I112" i="20" s="1"/>
  <c r="H838" i="20"/>
  <c r="I838" i="20" s="1"/>
  <c r="H572" i="20"/>
  <c r="I572" i="20" s="1"/>
  <c r="H487" i="20"/>
  <c r="I487" i="20" s="1"/>
  <c r="H761" i="20"/>
  <c r="I761" i="20" s="1"/>
  <c r="H323" i="20"/>
  <c r="I323" i="20" s="1"/>
  <c r="H595" i="20"/>
  <c r="I595" i="20" s="1"/>
  <c r="H693" i="20"/>
  <c r="I693" i="20" s="1"/>
  <c r="H375" i="20"/>
  <c r="I375" i="20" s="1"/>
  <c r="H922" i="20"/>
  <c r="I922" i="20" s="1"/>
  <c r="H118" i="20"/>
  <c r="I118" i="20" s="1"/>
  <c r="H305" i="20"/>
  <c r="I305" i="20" s="1"/>
  <c r="H313" i="20"/>
  <c r="I313" i="20" s="1"/>
  <c r="H319" i="20"/>
  <c r="I319" i="20" s="1"/>
  <c r="H769" i="20"/>
  <c r="I769" i="20" s="1"/>
  <c r="H425" i="20"/>
  <c r="I425" i="20" s="1"/>
  <c r="H781" i="20"/>
  <c r="I781" i="20" s="1"/>
  <c r="H969" i="20"/>
  <c r="I969" i="20" s="1"/>
  <c r="H558" i="20"/>
  <c r="H655" i="20"/>
  <c r="I655" i="20" s="1"/>
  <c r="H570" i="20"/>
  <c r="I570" i="20" s="1"/>
  <c r="H576" i="20"/>
  <c r="I576" i="20" s="1"/>
  <c r="H583" i="20"/>
  <c r="I583" i="20" s="1"/>
  <c r="H321" i="20"/>
  <c r="I321" i="20" s="1"/>
  <c r="H235" i="20"/>
  <c r="I235" i="20" s="1"/>
  <c r="H331" i="20"/>
  <c r="I331" i="20" s="1"/>
  <c r="H880" i="20"/>
  <c r="I880" i="20" s="1"/>
  <c r="H557" i="20"/>
  <c r="I557" i="20" s="1"/>
  <c r="H470" i="20"/>
  <c r="I470" i="20" s="1"/>
  <c r="H564" i="20"/>
  <c r="I564" i="20" s="1"/>
  <c r="H571" i="20"/>
  <c r="I571" i="20" s="1"/>
  <c r="H577" i="20"/>
  <c r="I577" i="20" s="1"/>
  <c r="H734" i="20"/>
  <c r="I734" i="20" s="1"/>
  <c r="H377" i="20"/>
  <c r="I377" i="20" s="1"/>
  <c r="H469" i="20"/>
  <c r="I469" i="20" s="1"/>
  <c r="H552" i="20"/>
  <c r="I552" i="20" s="1"/>
  <c r="H192" i="20"/>
  <c r="I192" i="20" s="1"/>
  <c r="H464" i="20"/>
  <c r="I464" i="20" s="1"/>
  <c r="H384" i="20"/>
  <c r="I384" i="20" s="1"/>
  <c r="H478" i="20"/>
  <c r="I478" i="20" s="1"/>
  <c r="H933" i="20"/>
  <c r="I933" i="20" s="1"/>
  <c r="H128" i="20"/>
  <c r="I128" i="20" s="1"/>
  <c r="H858" i="20"/>
  <c r="I858" i="20" s="1"/>
  <c r="H500" i="20"/>
  <c r="I500" i="20" s="1"/>
  <c r="H330" i="20"/>
  <c r="I330" i="20" s="1"/>
  <c r="H602" i="20"/>
  <c r="I602" i="20" s="1"/>
  <c r="H610" i="20"/>
  <c r="I610" i="20" s="1"/>
  <c r="H371" i="20"/>
  <c r="H383" i="20"/>
  <c r="I383" i="20" s="1"/>
  <c r="H658" i="20"/>
  <c r="I658" i="20" s="1"/>
  <c r="H213" i="20"/>
  <c r="I213" i="20" s="1"/>
  <c r="H403" i="20"/>
  <c r="I403" i="20" s="1"/>
  <c r="H1035" i="20"/>
  <c r="I1035" i="20" s="1"/>
  <c r="H137" i="20"/>
  <c r="I137" i="20" s="1"/>
  <c r="H687" i="20"/>
  <c r="I687" i="20" s="1"/>
  <c r="H335" i="20"/>
  <c r="I335" i="20" s="1"/>
  <c r="H787" i="20"/>
  <c r="I787" i="20" s="1"/>
  <c r="H107" i="20"/>
  <c r="I107" i="20" s="1"/>
  <c r="H741" i="20"/>
  <c r="I741" i="20" s="1"/>
  <c r="H840" i="20"/>
  <c r="I840" i="20" s="1"/>
  <c r="H664" i="20"/>
  <c r="I664" i="20" s="1"/>
  <c r="H937" i="20"/>
  <c r="I937" i="20" s="1"/>
  <c r="H586" i="20"/>
  <c r="I586" i="20" s="1"/>
  <c r="H232" i="20"/>
  <c r="I232" i="20" s="1"/>
  <c r="H871" i="20"/>
  <c r="I871" i="20" s="1"/>
  <c r="H430" i="20"/>
  <c r="I430" i="20" s="1"/>
  <c r="H1059" i="20"/>
  <c r="I1059" i="20" s="1"/>
  <c r="H374" i="20"/>
  <c r="I374" i="20" s="1"/>
  <c r="H833" i="20"/>
  <c r="I833" i="20" s="1"/>
  <c r="H206" i="20"/>
  <c r="I206" i="20" s="1"/>
  <c r="H394" i="20"/>
  <c r="I394" i="20" s="1"/>
  <c r="H127" i="20"/>
  <c r="I127" i="20" s="1"/>
  <c r="H318" i="20"/>
  <c r="I318" i="20" s="1"/>
  <c r="H768" i="20"/>
  <c r="I768" i="20" s="1"/>
  <c r="H237" i="20"/>
  <c r="I237" i="20" s="1"/>
  <c r="H603" i="20"/>
  <c r="I603" i="20" s="1"/>
  <c r="H1002" i="20"/>
  <c r="I1002" i="20" s="1"/>
  <c r="H294" i="20"/>
  <c r="I294" i="20" s="1"/>
  <c r="H749" i="20"/>
  <c r="I749" i="20" s="1"/>
  <c r="H124" i="20"/>
  <c r="I124" i="20" s="1"/>
  <c r="H404" i="20"/>
  <c r="I404" i="20" s="1"/>
  <c r="H764" i="20"/>
  <c r="I764" i="20" s="1"/>
  <c r="H865" i="20"/>
  <c r="I865" i="20" s="1"/>
  <c r="H688" i="20"/>
  <c r="I688" i="20" s="1"/>
  <c r="H1006" i="20"/>
  <c r="H821" i="20"/>
  <c r="H736" i="20"/>
  <c r="I736" i="20" s="1"/>
  <c r="H1008" i="20"/>
  <c r="I1008" i="20" s="1"/>
  <c r="H731" i="20"/>
  <c r="H109" i="20"/>
  <c r="H835" i="20"/>
  <c r="I835" i="20" s="1"/>
  <c r="H120" i="20"/>
  <c r="I120" i="20" s="1"/>
  <c r="H934" i="20"/>
  <c r="I934" i="20" s="1"/>
  <c r="H405" i="20"/>
  <c r="I405" i="20" s="1"/>
  <c r="H134" i="20"/>
  <c r="I134" i="20" s="1"/>
  <c r="H593" i="20"/>
  <c r="I593" i="20" s="1"/>
  <c r="H240" i="20"/>
  <c r="I240" i="20" s="1"/>
  <c r="H513" i="20"/>
  <c r="I513" i="20" s="1"/>
  <c r="H148" i="20"/>
  <c r="I148" i="20" s="1"/>
  <c r="H372" i="20"/>
  <c r="I372" i="20" s="1"/>
  <c r="H654" i="20"/>
  <c r="I654" i="20" s="1"/>
  <c r="H209" i="20"/>
  <c r="I209" i="20" s="1"/>
  <c r="H215" i="20"/>
  <c r="I215" i="20" s="1"/>
  <c r="H490" i="20"/>
  <c r="I490" i="20" s="1"/>
  <c r="H945" i="20"/>
  <c r="I945" i="20" s="1"/>
  <c r="H592" i="20"/>
  <c r="I592" i="20" s="1"/>
  <c r="H144" i="20"/>
  <c r="I144" i="20" s="1"/>
  <c r="H1054" i="20"/>
  <c r="I1054" i="20" s="1"/>
  <c r="H158" i="20"/>
  <c r="I158" i="20" s="1"/>
  <c r="H288" i="20"/>
  <c r="I288" i="20" s="1"/>
  <c r="H743" i="20"/>
  <c r="I743" i="20" s="1"/>
  <c r="H1019" i="20"/>
  <c r="I1019" i="20" s="1"/>
  <c r="H1026" i="20"/>
  <c r="I1026" i="20" s="1"/>
  <c r="H1032" i="20"/>
  <c r="I1032" i="20" s="1"/>
  <c r="H496" i="20"/>
  <c r="I496" i="20" s="1"/>
  <c r="H770" i="20"/>
  <c r="I770" i="20" s="1"/>
  <c r="H597" i="20"/>
  <c r="I597" i="20" s="1"/>
  <c r="H879" i="20"/>
  <c r="I879" i="20" s="1"/>
  <c r="H159" i="20"/>
  <c r="I159" i="20" s="1"/>
  <c r="H828" i="20"/>
  <c r="I828" i="20" s="1"/>
  <c r="H923" i="20"/>
  <c r="I923" i="20" s="1"/>
  <c r="H479" i="20"/>
  <c r="I479" i="20" s="1"/>
  <c r="H753" i="20"/>
  <c r="I753" i="20" s="1"/>
  <c r="H853" i="20"/>
  <c r="I853" i="20" s="1"/>
  <c r="H227" i="20"/>
  <c r="I227" i="20" s="1"/>
  <c r="H682" i="20"/>
  <c r="I682" i="20" s="1"/>
  <c r="H1047" i="20"/>
  <c r="I1047" i="20" s="1"/>
  <c r="H966" i="20"/>
  <c r="I966" i="20" s="1"/>
  <c r="H468" i="20"/>
  <c r="H836" i="20"/>
  <c r="I836" i="20" s="1"/>
  <c r="H1020" i="20"/>
  <c r="I1020" i="20" s="1"/>
  <c r="H755" i="20"/>
  <c r="I755" i="20" s="1"/>
  <c r="H855" i="20"/>
  <c r="I855" i="20" s="1"/>
  <c r="H841" i="20"/>
  <c r="I841" i="20" s="1"/>
  <c r="H912" i="20"/>
  <c r="I912" i="20" s="1"/>
  <c r="H1053" i="20"/>
  <c r="I1053" i="20" s="1"/>
  <c r="H418" i="20"/>
  <c r="I418" i="20" s="1"/>
  <c r="H580" i="20"/>
  <c r="I580" i="20" s="1"/>
  <c r="H385" i="20"/>
  <c r="I385" i="20" s="1"/>
  <c r="H677" i="20"/>
  <c r="I677" i="20" s="1"/>
  <c r="H1051" i="20"/>
  <c r="I1051" i="20" s="1"/>
  <c r="H555" i="20"/>
  <c r="I555" i="20" s="1"/>
  <c r="H114" i="20"/>
  <c r="I114" i="20" s="1"/>
  <c r="H842" i="20"/>
  <c r="I842" i="20" s="1"/>
  <c r="H1029" i="20"/>
  <c r="I1029" i="20" s="1"/>
  <c r="H411" i="20"/>
  <c r="I411" i="20" s="1"/>
  <c r="H952" i="20"/>
  <c r="I952" i="20" s="1"/>
  <c r="H429" i="20"/>
  <c r="I429" i="20" s="1"/>
  <c r="H518" i="20"/>
  <c r="I518" i="20" s="1"/>
  <c r="H289" i="20"/>
  <c r="H657" i="20"/>
  <c r="I657" i="20" s="1"/>
  <c r="H848" i="20"/>
  <c r="I848" i="20" s="1"/>
  <c r="H672" i="20"/>
  <c r="I672" i="20" s="1"/>
  <c r="H860" i="20"/>
  <c r="I860" i="20" s="1"/>
  <c r="H502" i="20"/>
  <c r="I502" i="20" s="1"/>
  <c r="H1049" i="20"/>
  <c r="I1049" i="20" s="1"/>
  <c r="H514" i="20"/>
  <c r="I514" i="20" s="1"/>
  <c r="H644" i="20"/>
  <c r="I644" i="20" s="1"/>
  <c r="H201" i="20"/>
  <c r="I201" i="20" s="1"/>
  <c r="H477" i="20"/>
  <c r="I477" i="20" s="1"/>
  <c r="H304" i="20"/>
  <c r="I304" i="20" s="1"/>
  <c r="H851" i="20"/>
  <c r="I851" i="20" s="1"/>
  <c r="H493" i="20"/>
  <c r="I493" i="20" s="1"/>
  <c r="H136" i="20"/>
  <c r="I136" i="20" s="1"/>
  <c r="H504" i="20"/>
  <c r="I504" i="20" s="1"/>
  <c r="H876" i="20"/>
  <c r="I876" i="20" s="1"/>
  <c r="H608" i="20"/>
  <c r="I608" i="20" s="1"/>
  <c r="H822" i="20"/>
  <c r="I822" i="20" s="1"/>
  <c r="H754" i="20"/>
  <c r="I754" i="20" s="1"/>
  <c r="H202" i="20"/>
  <c r="I202" i="20" s="1"/>
  <c r="H788" i="20"/>
  <c r="I788" i="20" s="1"/>
  <c r="H143" i="20"/>
  <c r="I143" i="20" s="1"/>
  <c r="H494" i="20"/>
  <c r="I494" i="20" s="1"/>
  <c r="H476" i="20"/>
  <c r="I476" i="20" s="1"/>
  <c r="H413" i="20"/>
  <c r="I413" i="20" s="1"/>
  <c r="H512" i="20"/>
  <c r="I512" i="20" s="1"/>
  <c r="H1007" i="20"/>
  <c r="I1007" i="20" s="1"/>
  <c r="H1013" i="20"/>
  <c r="I1013" i="20" s="1"/>
  <c r="H844" i="20"/>
  <c r="I844" i="20" s="1"/>
  <c r="H218" i="20"/>
  <c r="I218" i="20" s="1"/>
  <c r="H133" i="20"/>
  <c r="I133" i="20" s="1"/>
  <c r="H327" i="20"/>
  <c r="I327" i="20" s="1"/>
  <c r="H601" i="20"/>
  <c r="I601" i="20" s="1"/>
  <c r="H156" i="20"/>
  <c r="I156" i="20" s="1"/>
  <c r="H291" i="20"/>
  <c r="I291" i="20" s="1"/>
  <c r="H748" i="20"/>
  <c r="I748" i="20" s="1"/>
  <c r="H399" i="20"/>
  <c r="I399" i="20" s="1"/>
  <c r="H315" i="20"/>
  <c r="I315" i="20" s="1"/>
  <c r="H679" i="20"/>
  <c r="I679" i="20" s="1"/>
  <c r="H772" i="20"/>
  <c r="I772" i="20" s="1"/>
  <c r="H778" i="20"/>
  <c r="I778" i="20" s="1"/>
  <c r="H1056" i="20"/>
  <c r="I1056" i="20" s="1"/>
  <c r="H108" i="20"/>
  <c r="I108" i="20" s="1"/>
  <c r="H293" i="20"/>
  <c r="I293" i="20" s="1"/>
  <c r="H567" i="20"/>
  <c r="I567" i="20" s="1"/>
  <c r="H752" i="20"/>
  <c r="I752" i="20" s="1"/>
  <c r="H852" i="20"/>
  <c r="I852" i="20" s="1"/>
  <c r="H132" i="20"/>
  <c r="I132" i="20" s="1"/>
  <c r="H863" i="20"/>
  <c r="I863" i="20" s="1"/>
  <c r="H329" i="20"/>
  <c r="I329" i="20" s="1"/>
  <c r="H243" i="20"/>
  <c r="I243" i="20" s="1"/>
  <c r="H250" i="20"/>
  <c r="I250" i="20" s="1"/>
  <c r="H194" i="20"/>
  <c r="I194" i="20" s="1"/>
  <c r="H939" i="20"/>
  <c r="I939" i="20" s="1"/>
  <c r="H119" i="20"/>
  <c r="I119" i="20" s="1"/>
  <c r="H641" i="20"/>
  <c r="H336" i="20"/>
  <c r="I336" i="20" s="1"/>
  <c r="H864" i="20"/>
  <c r="I864" i="20" s="1"/>
  <c r="H391" i="20"/>
  <c r="I391" i="20" s="1"/>
  <c r="H680" i="20"/>
  <c r="I680" i="20" s="1"/>
  <c r="H150" i="20"/>
  <c r="I150" i="20" s="1"/>
  <c r="H826" i="20"/>
  <c r="I826" i="20" s="1"/>
  <c r="H203" i="20"/>
  <c r="I203" i="20" s="1"/>
  <c r="H122" i="20"/>
  <c r="I122" i="20" s="1"/>
  <c r="H489" i="20"/>
  <c r="I489" i="20" s="1"/>
  <c r="H228" i="20"/>
  <c r="I228" i="20" s="1"/>
  <c r="H869" i="20"/>
  <c r="I869" i="20" s="1"/>
  <c r="H962" i="20"/>
  <c r="I962" i="20" s="1"/>
  <c r="H520" i="20"/>
  <c r="I520" i="20" s="1"/>
  <c r="H292" i="20"/>
  <c r="I292" i="20" s="1"/>
  <c r="H568" i="20"/>
  <c r="I568" i="20" s="1"/>
  <c r="H1028" i="20"/>
  <c r="I1028" i="20" s="1"/>
  <c r="H942" i="20"/>
  <c r="I942" i="20" s="1"/>
  <c r="H949" i="20"/>
  <c r="I949" i="20" s="1"/>
  <c r="H236" i="20"/>
  <c r="I236" i="20" s="1"/>
  <c r="H242" i="20"/>
  <c r="I242" i="20" s="1"/>
  <c r="H785" i="20"/>
  <c r="I785" i="20" s="1"/>
  <c r="H462" i="20"/>
  <c r="I462" i="20" s="1"/>
  <c r="H473" i="20"/>
  <c r="I473" i="20" s="1"/>
  <c r="H1018" i="20"/>
  <c r="I1018" i="20" s="1"/>
  <c r="H847" i="20"/>
  <c r="I847" i="20" s="1"/>
  <c r="H1031" i="20"/>
  <c r="I1031" i="20" s="1"/>
  <c r="H226" i="20"/>
  <c r="I226" i="20" s="1"/>
  <c r="H325" i="20"/>
  <c r="I325" i="20" s="1"/>
  <c r="H775" i="20"/>
  <c r="I775" i="20" s="1"/>
  <c r="H244" i="20"/>
  <c r="I244" i="20" s="1"/>
  <c r="H519" i="20"/>
  <c r="I519" i="20" s="1"/>
  <c r="H285" i="20"/>
  <c r="I285" i="20" s="1"/>
  <c r="H1036" i="20"/>
  <c r="I1036" i="20" s="1"/>
  <c r="H1025" i="20"/>
  <c r="I1025" i="20" s="1"/>
  <c r="H834" i="20"/>
  <c r="I834" i="20" s="1"/>
  <c r="H789" i="20"/>
  <c r="I789" i="20" s="1"/>
  <c r="H238" i="20"/>
  <c r="I238" i="20" s="1"/>
  <c r="H663" i="20"/>
  <c r="I663" i="20" s="1"/>
  <c r="H683" i="20"/>
  <c r="I683" i="20" s="1"/>
  <c r="H964" i="20"/>
  <c r="I964" i="20" s="1"/>
  <c r="H737" i="20"/>
  <c r="I737" i="20" s="1"/>
  <c r="H475" i="20"/>
  <c r="I475" i="20" s="1"/>
  <c r="H845" i="20"/>
  <c r="I845" i="20" s="1"/>
  <c r="H758" i="20"/>
  <c r="I758" i="20" s="1"/>
  <c r="H497" i="20"/>
  <c r="I497" i="20" s="1"/>
  <c r="H1045" i="20"/>
  <c r="I1045" i="20" s="1"/>
  <c r="H245" i="20"/>
  <c r="I245" i="20" s="1"/>
  <c r="H282" i="20"/>
  <c r="I282" i="20" s="1"/>
  <c r="H113" i="20"/>
  <c r="I113" i="20" s="1"/>
  <c r="H569" i="20"/>
  <c r="I569" i="20" s="1"/>
  <c r="H756" i="20"/>
  <c r="I756" i="20" s="1"/>
  <c r="H317" i="20"/>
  <c r="I317" i="20" s="1"/>
  <c r="H231" i="20"/>
  <c r="I231" i="20" s="1"/>
  <c r="H954" i="20"/>
  <c r="I954" i="20" s="1"/>
  <c r="H960" i="20"/>
  <c r="I960" i="20" s="1"/>
  <c r="H698" i="20"/>
  <c r="I698" i="20" s="1"/>
  <c r="H647" i="20"/>
  <c r="I647" i="20" s="1"/>
  <c r="H742" i="20"/>
  <c r="I742" i="20" s="1"/>
  <c r="H659" i="20"/>
  <c r="I659" i="20" s="1"/>
  <c r="H575" i="20"/>
  <c r="I575" i="20" s="1"/>
  <c r="H582" i="20"/>
  <c r="I582" i="20" s="1"/>
  <c r="H676" i="20"/>
  <c r="I676" i="20" s="1"/>
  <c r="H1042" i="20"/>
  <c r="I1042" i="20" s="1"/>
  <c r="H239" i="20"/>
  <c r="I239" i="20" s="1"/>
  <c r="H149" i="20"/>
  <c r="I149" i="20" s="1"/>
  <c r="H790" i="20"/>
  <c r="I790" i="20" s="1"/>
  <c r="H191" i="20"/>
  <c r="H419" i="20"/>
  <c r="I419" i="20" s="1"/>
  <c r="H581" i="20"/>
  <c r="I581" i="20" s="1"/>
  <c r="H390" i="20"/>
  <c r="I390" i="20" s="1"/>
  <c r="H101" i="20"/>
  <c r="H246" i="20"/>
  <c r="I246" i="20" s="1"/>
  <c r="H484" i="20"/>
  <c r="I484" i="20" s="1"/>
  <c r="H421" i="20"/>
  <c r="I421" i="20" s="1"/>
  <c r="H152" i="20"/>
  <c r="I152" i="20" s="1"/>
  <c r="H193" i="20"/>
  <c r="I193" i="20" s="1"/>
  <c r="H298" i="20"/>
  <c r="I298" i="20" s="1"/>
  <c r="H397" i="20"/>
  <c r="I397" i="20" s="1"/>
  <c r="H759" i="20"/>
  <c r="I759" i="20" s="1"/>
  <c r="H766" i="20"/>
  <c r="I766" i="20" s="1"/>
  <c r="H596" i="20"/>
  <c r="I596" i="20" s="1"/>
  <c r="H694" i="20"/>
  <c r="I694" i="20" s="1"/>
  <c r="H463" i="20"/>
  <c r="I463" i="20" s="1"/>
  <c r="H653" i="20"/>
  <c r="I653" i="20" s="1"/>
  <c r="H210" i="20"/>
  <c r="I210" i="20" s="1"/>
  <c r="H311" i="20"/>
  <c r="I311" i="20" s="1"/>
  <c r="H225" i="20"/>
  <c r="I225" i="20" s="1"/>
  <c r="H499" i="20"/>
  <c r="I499" i="20" s="1"/>
  <c r="H505" i="20"/>
  <c r="I505" i="20" s="1"/>
  <c r="H692" i="20"/>
  <c r="I692" i="20" s="1"/>
  <c r="H340" i="20"/>
  <c r="I340" i="20" s="1"/>
  <c r="H556" i="20"/>
  <c r="I556" i="20" s="1"/>
  <c r="H115" i="20"/>
  <c r="I115" i="20" s="1"/>
  <c r="H929" i="20"/>
  <c r="I929" i="20" s="1"/>
  <c r="H307" i="20"/>
  <c r="I307" i="20" s="1"/>
  <c r="H671" i="20"/>
  <c r="I671" i="20" s="1"/>
  <c r="H1037" i="20"/>
  <c r="I1037" i="20" s="1"/>
  <c r="H420" i="20"/>
  <c r="I420" i="20" s="1"/>
  <c r="H507" i="20"/>
  <c r="I507" i="20" s="1"/>
  <c r="H604" i="20"/>
  <c r="I604" i="20" s="1"/>
  <c r="H461" i="20"/>
  <c r="H776" i="20"/>
  <c r="I776" i="20" s="1"/>
  <c r="H944" i="20"/>
  <c r="I944" i="20" s="1"/>
  <c r="H214" i="20"/>
  <c r="I214" i="20" s="1"/>
  <c r="H562" i="20"/>
  <c r="I562" i="20" s="1"/>
  <c r="H286" i="20"/>
  <c r="I286" i="20" s="1"/>
  <c r="H936" i="20"/>
  <c r="I936" i="20" s="1"/>
  <c r="H773" i="20"/>
  <c r="I773" i="20" s="1"/>
  <c r="H153" i="20"/>
  <c r="I153" i="20" s="1"/>
  <c r="H650" i="20"/>
  <c r="I650" i="20" s="1"/>
  <c r="H839" i="20"/>
  <c r="I839" i="20" s="1"/>
  <c r="H398" i="20"/>
  <c r="I398" i="20" s="1"/>
  <c r="H760" i="20"/>
  <c r="I760" i="20" s="1"/>
  <c r="H498" i="20"/>
  <c r="I498" i="20" s="1"/>
  <c r="H426" i="20"/>
  <c r="I426" i="20" s="1"/>
  <c r="H695" i="20"/>
  <c r="I695" i="20" s="1"/>
  <c r="H376" i="20"/>
  <c r="I376" i="20" s="1"/>
  <c r="H474" i="20"/>
  <c r="I474" i="20" s="1"/>
  <c r="H393" i="20"/>
  <c r="I393" i="20" s="1"/>
  <c r="H757" i="20"/>
  <c r="I757" i="20" s="1"/>
  <c r="H495" i="20"/>
  <c r="I495" i="20" s="1"/>
  <c r="H591" i="20"/>
  <c r="I591" i="20" s="1"/>
  <c r="H956" i="20"/>
  <c r="I956" i="20" s="1"/>
  <c r="H878" i="20"/>
  <c r="I878" i="20" s="1"/>
  <c r="H155" i="20"/>
  <c r="I155" i="20" s="1"/>
  <c r="H198" i="20"/>
  <c r="I198" i="20" s="1"/>
  <c r="H297" i="20"/>
  <c r="I297" i="20" s="1"/>
  <c r="H661" i="20"/>
  <c r="I661" i="20" s="1"/>
  <c r="H666" i="20"/>
  <c r="I666" i="20" s="1"/>
  <c r="H491" i="20"/>
  <c r="I491" i="20" s="1"/>
  <c r="H678" i="20"/>
  <c r="I678" i="20" s="1"/>
  <c r="H867" i="20"/>
  <c r="I867" i="20" s="1"/>
  <c r="H332" i="20"/>
  <c r="I332" i="20" s="1"/>
  <c r="H965" i="20"/>
  <c r="I965" i="20" s="1"/>
  <c r="H924" i="20"/>
  <c r="I924" i="20" s="1"/>
  <c r="H157" i="20"/>
  <c r="I157" i="20" s="1"/>
  <c r="H506" i="20"/>
  <c r="I506" i="20" s="1"/>
  <c r="H587" i="20"/>
  <c r="I587" i="20" s="1"/>
  <c r="H483" i="20"/>
  <c r="I483" i="20" s="1"/>
  <c r="H920" i="20"/>
  <c r="I920" i="20" s="1"/>
  <c r="H131" i="20"/>
  <c r="I131" i="20" s="1"/>
  <c r="H873" i="20"/>
  <c r="I873" i="20" s="1"/>
  <c r="H1060" i="20"/>
  <c r="I1060" i="20" s="1"/>
  <c r="H1011" i="20"/>
  <c r="I1011" i="20" s="1"/>
  <c r="H300" i="20"/>
  <c r="I300" i="20" s="1"/>
  <c r="H667" i="20"/>
  <c r="I667" i="20" s="1"/>
  <c r="H224" i="20"/>
  <c r="I224" i="20" s="1"/>
  <c r="H234" i="20"/>
  <c r="I234" i="20" s="1"/>
  <c r="H874" i="20"/>
  <c r="I874" i="20" s="1"/>
  <c r="H249" i="20"/>
  <c r="I249" i="20" s="1"/>
  <c r="H281" i="20"/>
  <c r="H746" i="20"/>
  <c r="I746" i="20" s="1"/>
  <c r="H396" i="20"/>
  <c r="I396" i="20" s="1"/>
  <c r="H940" i="20"/>
  <c r="I940" i="20" s="1"/>
  <c r="H412" i="20"/>
  <c r="I412" i="20" s="1"/>
  <c r="H501" i="20"/>
  <c r="I501" i="20" s="1"/>
  <c r="H598" i="20"/>
  <c r="I598" i="20" s="1"/>
  <c r="H783" i="20"/>
  <c r="I783" i="20" s="1"/>
  <c r="H911" i="20"/>
  <c r="H740" i="20"/>
  <c r="I740" i="20" s="1"/>
  <c r="H117" i="20"/>
  <c r="I117" i="20" s="1"/>
  <c r="H751" i="20"/>
  <c r="I751" i="20" s="1"/>
  <c r="H217" i="20"/>
  <c r="I217" i="20" s="1"/>
  <c r="H223" i="20"/>
  <c r="I223" i="20" s="1"/>
  <c r="H416" i="20"/>
  <c r="I416" i="20" s="1"/>
  <c r="H141" i="20"/>
  <c r="I141" i="20" s="1"/>
  <c r="H510" i="20"/>
  <c r="I510" i="20" s="1"/>
  <c r="H1057" i="20"/>
  <c r="I1057" i="20" s="1"/>
  <c r="H854" i="20"/>
  <c r="I854" i="20" s="1"/>
  <c r="H1048" i="20"/>
  <c r="I1048" i="20" s="1"/>
  <c r="H872" i="20"/>
  <c r="I872" i="20" s="1"/>
  <c r="H415" i="20"/>
  <c r="I415" i="20" s="1"/>
  <c r="H935" i="20"/>
  <c r="I935" i="20" s="1"/>
  <c r="H958" i="20"/>
  <c r="I958" i="20" s="1"/>
  <c r="H967" i="20"/>
  <c r="I967" i="20" s="1"/>
  <c r="H963" i="20"/>
  <c r="I963" i="20" s="1"/>
  <c r="H594" i="20"/>
  <c r="I594" i="20" s="1"/>
  <c r="H733" i="20"/>
  <c r="I733" i="20" s="1"/>
  <c r="H1058" i="20"/>
  <c r="I1058" i="20" s="1"/>
  <c r="H551" i="20"/>
  <c r="H645" i="20"/>
  <c r="I645" i="20" s="1"/>
  <c r="H146" i="20"/>
  <c r="I146" i="20" s="1"/>
  <c r="H674" i="20"/>
  <c r="I674" i="20" s="1"/>
  <c r="H782" i="20"/>
  <c r="I782" i="20" s="1"/>
  <c r="H832" i="20"/>
  <c r="I832" i="20" s="1"/>
  <c r="H296" i="20"/>
  <c r="I296" i="20" s="1"/>
  <c r="H290" i="20"/>
  <c r="I290" i="20" s="1"/>
  <c r="H338" i="20"/>
  <c r="I338" i="20" s="1"/>
  <c r="H299" i="20"/>
  <c r="I299" i="20" s="1"/>
  <c r="H233" i="20"/>
  <c r="I233" i="20" s="1"/>
  <c r="H928" i="20"/>
  <c r="I928" i="20" s="1"/>
  <c r="H395" i="20"/>
  <c r="I395" i="20" s="1"/>
  <c r="H656" i="20"/>
  <c r="I656" i="20" s="1"/>
  <c r="H938" i="20"/>
  <c r="I938" i="20" s="1"/>
  <c r="H306" i="20"/>
  <c r="I306" i="20" s="1"/>
  <c r="H220" i="20"/>
  <c r="I220" i="20" s="1"/>
  <c r="H1021" i="20"/>
  <c r="I1021" i="20" s="1"/>
  <c r="H646" i="20"/>
  <c r="I646" i="20" s="1"/>
  <c r="H1041" i="20"/>
  <c r="I1041" i="20" s="1"/>
  <c r="H138" i="20"/>
  <c r="I138" i="20" s="1"/>
  <c r="H584" i="20"/>
  <c r="I584" i="20" s="1"/>
  <c r="H320" i="20"/>
  <c r="I320" i="20" s="1"/>
  <c r="I365" i="13"/>
  <c r="I374" i="13"/>
  <c r="J374" i="13" s="1"/>
  <c r="I383" i="13"/>
  <c r="J383" i="13" s="1"/>
  <c r="I384" i="13"/>
  <c r="J384" i="13" s="1"/>
  <c r="I385" i="13"/>
  <c r="J385" i="13" s="1"/>
  <c r="I386" i="13"/>
  <c r="J386" i="13" s="1"/>
  <c r="I387" i="13"/>
  <c r="J387" i="13" s="1"/>
  <c r="I360" i="13"/>
  <c r="I373" i="13"/>
  <c r="J373" i="13" s="1"/>
  <c r="I382" i="13"/>
  <c r="J382" i="13" s="1"/>
  <c r="I391" i="13"/>
  <c r="J391" i="13" s="1"/>
  <c r="I392" i="13"/>
  <c r="J392" i="13" s="1"/>
  <c r="I393" i="13"/>
  <c r="J393" i="13" s="1"/>
  <c r="I394" i="13"/>
  <c r="J394" i="13" s="1"/>
  <c r="I395" i="13"/>
  <c r="J395" i="13" s="1"/>
  <c r="I372" i="13"/>
  <c r="J372" i="13" s="1"/>
  <c r="I381" i="13"/>
  <c r="J381" i="13" s="1"/>
  <c r="I390" i="13"/>
  <c r="J390" i="13" s="1"/>
  <c r="I399" i="13"/>
  <c r="J399" i="13" s="1"/>
  <c r="I400" i="13"/>
  <c r="J400" i="13" s="1"/>
  <c r="I401" i="13"/>
  <c r="J401" i="13" s="1"/>
  <c r="I402" i="13"/>
  <c r="J402" i="13" s="1"/>
  <c r="I403" i="13"/>
  <c r="J403" i="13" s="1"/>
  <c r="I380" i="13"/>
  <c r="J380" i="13" s="1"/>
  <c r="I389" i="13"/>
  <c r="J389" i="13" s="1"/>
  <c r="I398" i="13"/>
  <c r="J398" i="13" s="1"/>
  <c r="I407" i="13"/>
  <c r="J407" i="13" s="1"/>
  <c r="I405" i="13"/>
  <c r="J405" i="13" s="1"/>
  <c r="I364" i="13"/>
  <c r="I409" i="13"/>
  <c r="J409" i="13" s="1"/>
  <c r="I371" i="13"/>
  <c r="J371" i="13" s="1"/>
  <c r="I417" i="13"/>
  <c r="J417" i="13" s="1"/>
  <c r="I418" i="13"/>
  <c r="J418" i="13" s="1"/>
  <c r="I413" i="13"/>
  <c r="J413" i="13" s="1"/>
  <c r="I368" i="13"/>
  <c r="J368" i="13" s="1"/>
  <c r="I379" i="13"/>
  <c r="J379" i="13" s="1"/>
  <c r="I375" i="13"/>
  <c r="J375" i="13" s="1"/>
  <c r="I366" i="13"/>
  <c r="I376" i="13"/>
  <c r="J376" i="13" s="1"/>
  <c r="I363" i="13"/>
  <c r="I411" i="13"/>
  <c r="J411" i="13" s="1"/>
  <c r="I388" i="13"/>
  <c r="J388" i="13" s="1"/>
  <c r="I406" i="13"/>
  <c r="J406" i="13" s="1"/>
  <c r="I408" i="13"/>
  <c r="J408" i="13" s="1"/>
  <c r="I370" i="13"/>
  <c r="J370" i="13" s="1"/>
  <c r="I419" i="13"/>
  <c r="J419" i="13" s="1"/>
  <c r="I396" i="13"/>
  <c r="J396" i="13" s="1"/>
  <c r="I414" i="13"/>
  <c r="J414" i="13" s="1"/>
  <c r="I416" i="13"/>
  <c r="J416" i="13" s="1"/>
  <c r="I378" i="13"/>
  <c r="J378" i="13" s="1"/>
  <c r="I412" i="13"/>
  <c r="J412" i="13" s="1"/>
  <c r="I404" i="13"/>
  <c r="J404" i="13" s="1"/>
  <c r="I367" i="13"/>
  <c r="I362" i="13"/>
  <c r="I410" i="13"/>
  <c r="J410" i="13" s="1"/>
  <c r="I369" i="13"/>
  <c r="J369" i="13" s="1"/>
  <c r="I397" i="13"/>
  <c r="J397" i="13" s="1"/>
  <c r="I415" i="13"/>
  <c r="J415" i="13" s="1"/>
  <c r="I377" i="13"/>
  <c r="J377" i="13" s="1"/>
  <c r="I361" i="13"/>
  <c r="M784" i="13"/>
  <c r="M785" i="13" s="1"/>
  <c r="M803" i="13"/>
  <c r="I218" i="13"/>
  <c r="J218" i="13" s="1"/>
  <c r="I219" i="13"/>
  <c r="J219" i="13" s="1"/>
  <c r="I220" i="13"/>
  <c r="J220" i="13" s="1"/>
  <c r="I221" i="13"/>
  <c r="J221" i="13" s="1"/>
  <c r="I222" i="13"/>
  <c r="J222" i="13" s="1"/>
  <c r="I231" i="13"/>
  <c r="J231" i="13" s="1"/>
  <c r="I240" i="13"/>
  <c r="J240" i="13" s="1"/>
  <c r="I226" i="13"/>
  <c r="J226" i="13" s="1"/>
  <c r="I227" i="13"/>
  <c r="J227" i="13" s="1"/>
  <c r="I228" i="13"/>
  <c r="J228" i="13" s="1"/>
  <c r="I229" i="13"/>
  <c r="J229" i="13" s="1"/>
  <c r="I230" i="13"/>
  <c r="J230" i="13" s="1"/>
  <c r="I239" i="13"/>
  <c r="J239" i="13" s="1"/>
  <c r="I193" i="13"/>
  <c r="I234" i="13"/>
  <c r="J234" i="13" s="1"/>
  <c r="I235" i="13"/>
  <c r="J235" i="13" s="1"/>
  <c r="I236" i="13"/>
  <c r="J236" i="13" s="1"/>
  <c r="I237" i="13"/>
  <c r="J237" i="13" s="1"/>
  <c r="I238" i="13"/>
  <c r="J238" i="13" s="1"/>
  <c r="I192" i="13"/>
  <c r="I201" i="13"/>
  <c r="J201" i="13" s="1"/>
  <c r="I242" i="13"/>
  <c r="J242" i="13" s="1"/>
  <c r="I243" i="13"/>
  <c r="J243" i="13" s="1"/>
  <c r="I244" i="13"/>
  <c r="J244" i="13" s="1"/>
  <c r="I245" i="13"/>
  <c r="J245" i="13" s="1"/>
  <c r="I189" i="13"/>
  <c r="I200" i="13"/>
  <c r="J200" i="13" s="1"/>
  <c r="I209" i="13"/>
  <c r="J209" i="13" s="1"/>
  <c r="I187" i="13"/>
  <c r="I186" i="13"/>
  <c r="I191" i="13"/>
  <c r="I188" i="13"/>
  <c r="I190" i="13"/>
  <c r="I199" i="13"/>
  <c r="J199" i="13" s="1"/>
  <c r="I208" i="13"/>
  <c r="J208" i="13" s="1"/>
  <c r="I217" i="13"/>
  <c r="J217" i="13" s="1"/>
  <c r="I194" i="13"/>
  <c r="I195" i="13"/>
  <c r="J195" i="13" s="1"/>
  <c r="I196" i="13"/>
  <c r="J196" i="13" s="1"/>
  <c r="I197" i="13"/>
  <c r="J197" i="13" s="1"/>
  <c r="I198" i="13"/>
  <c r="J198" i="13" s="1"/>
  <c r="I207" i="13"/>
  <c r="J207" i="13" s="1"/>
  <c r="I216" i="13"/>
  <c r="J216" i="13" s="1"/>
  <c r="I225" i="13"/>
  <c r="J225" i="13" s="1"/>
  <c r="I210" i="13"/>
  <c r="J210" i="13" s="1"/>
  <c r="I211" i="13"/>
  <c r="J211" i="13" s="1"/>
  <c r="I212" i="13"/>
  <c r="J212" i="13" s="1"/>
  <c r="I213" i="13"/>
  <c r="J213" i="13" s="1"/>
  <c r="I214" i="13"/>
  <c r="J214" i="13" s="1"/>
  <c r="I223" i="13"/>
  <c r="J223" i="13" s="1"/>
  <c r="I232" i="13"/>
  <c r="J232" i="13" s="1"/>
  <c r="I241" i="13"/>
  <c r="J241" i="13" s="1"/>
  <c r="I233" i="13"/>
  <c r="J233" i="13" s="1"/>
  <c r="I202" i="13"/>
  <c r="J202" i="13" s="1"/>
  <c r="I203" i="13"/>
  <c r="J203" i="13" s="1"/>
  <c r="I204" i="13"/>
  <c r="J204" i="13" s="1"/>
  <c r="I205" i="13"/>
  <c r="J205" i="13" s="1"/>
  <c r="I206" i="13"/>
  <c r="J206" i="13" s="1"/>
  <c r="I224" i="13"/>
  <c r="J224" i="13" s="1"/>
  <c r="I215" i="13"/>
  <c r="J215" i="13" s="1"/>
  <c r="G971" i="20"/>
  <c r="I105" i="13"/>
  <c r="I114" i="13"/>
  <c r="J114" i="13" s="1"/>
  <c r="I123" i="13"/>
  <c r="J123" i="13" s="1"/>
  <c r="I124" i="13"/>
  <c r="J124" i="13" s="1"/>
  <c r="I125" i="13"/>
  <c r="J125" i="13" s="1"/>
  <c r="I126" i="13"/>
  <c r="J126" i="13" s="1"/>
  <c r="I127" i="13"/>
  <c r="J127" i="13" s="1"/>
  <c r="I128" i="13"/>
  <c r="J128" i="13" s="1"/>
  <c r="I113" i="13"/>
  <c r="J113" i="13" s="1"/>
  <c r="I122" i="13"/>
  <c r="J122" i="13" s="1"/>
  <c r="I131" i="13"/>
  <c r="J131" i="13" s="1"/>
  <c r="I132" i="13"/>
  <c r="J132" i="13" s="1"/>
  <c r="I133" i="13"/>
  <c r="J133" i="13" s="1"/>
  <c r="I134" i="13"/>
  <c r="J134" i="13" s="1"/>
  <c r="I135" i="13"/>
  <c r="J135" i="13" s="1"/>
  <c r="I136" i="13"/>
  <c r="J136" i="13" s="1"/>
  <c r="I121" i="13"/>
  <c r="J121" i="13" s="1"/>
  <c r="I130" i="13"/>
  <c r="J130" i="13" s="1"/>
  <c r="I139" i="13"/>
  <c r="J139" i="13" s="1"/>
  <c r="I140" i="13"/>
  <c r="J140" i="13" s="1"/>
  <c r="I141" i="13"/>
  <c r="J141" i="13" s="1"/>
  <c r="I142" i="13"/>
  <c r="J142" i="13" s="1"/>
  <c r="I143" i="13"/>
  <c r="J143" i="13" s="1"/>
  <c r="I144" i="13"/>
  <c r="J144" i="13" s="1"/>
  <c r="I129" i="13"/>
  <c r="J129" i="13" s="1"/>
  <c r="I138" i="13"/>
  <c r="J138" i="13" s="1"/>
  <c r="I147" i="13"/>
  <c r="J147" i="13" s="1"/>
  <c r="I148" i="13"/>
  <c r="J148" i="13" s="1"/>
  <c r="I149" i="13"/>
  <c r="J149" i="13" s="1"/>
  <c r="I150" i="13"/>
  <c r="J150" i="13" s="1"/>
  <c r="I151" i="13"/>
  <c r="J151" i="13" s="1"/>
  <c r="I152" i="13"/>
  <c r="J152" i="13" s="1"/>
  <c r="I137" i="13"/>
  <c r="J137" i="13" s="1"/>
  <c r="I146" i="13"/>
  <c r="J146" i="13" s="1"/>
  <c r="I155" i="13"/>
  <c r="J155" i="13" s="1"/>
  <c r="I156" i="13"/>
  <c r="J156" i="13" s="1"/>
  <c r="I157" i="13"/>
  <c r="J157" i="13" s="1"/>
  <c r="I158" i="13"/>
  <c r="J158" i="13" s="1"/>
  <c r="I159" i="13"/>
  <c r="J159" i="13" s="1"/>
  <c r="I145" i="13"/>
  <c r="J145" i="13" s="1"/>
  <c r="I154" i="13"/>
  <c r="J154" i="13" s="1"/>
  <c r="I103" i="13"/>
  <c r="I102" i="13"/>
  <c r="I101" i="13"/>
  <c r="I104" i="13"/>
  <c r="I100" i="13"/>
  <c r="I106" i="13"/>
  <c r="I115" i="13"/>
  <c r="J115" i="13" s="1"/>
  <c r="I116" i="13"/>
  <c r="J116" i="13" s="1"/>
  <c r="I117" i="13"/>
  <c r="J117" i="13" s="1"/>
  <c r="I118" i="13"/>
  <c r="J118" i="13" s="1"/>
  <c r="I119" i="13"/>
  <c r="J119" i="13" s="1"/>
  <c r="I120" i="13"/>
  <c r="J120" i="13" s="1"/>
  <c r="I109" i="13"/>
  <c r="J109" i="13" s="1"/>
  <c r="I110" i="13"/>
  <c r="J110" i="13" s="1"/>
  <c r="I111" i="13"/>
  <c r="J111" i="13" s="1"/>
  <c r="I112" i="13"/>
  <c r="J112" i="13" s="1"/>
  <c r="I153" i="13"/>
  <c r="J153" i="13" s="1"/>
  <c r="I107" i="13"/>
  <c r="I108" i="13"/>
  <c r="J537" i="13" l="1"/>
  <c r="O537" i="13"/>
  <c r="P537" i="13" s="1"/>
  <c r="J883" i="13"/>
  <c r="O883" i="13"/>
  <c r="P883" i="13" s="1"/>
  <c r="O194" i="13"/>
  <c r="P194" i="13" s="1"/>
  <c r="J194" i="13"/>
  <c r="N175" i="13"/>
  <c r="O187" i="13"/>
  <c r="P187" i="13" s="1"/>
  <c r="J187" i="13"/>
  <c r="I461" i="20"/>
  <c r="H521" i="20"/>
  <c r="N539" i="20"/>
  <c r="N540" i="20" s="1"/>
  <c r="I558" i="20"/>
  <c r="O713" i="13"/>
  <c r="P713" i="13" s="1"/>
  <c r="J713" i="13"/>
  <c r="J803" i="13"/>
  <c r="O803" i="13"/>
  <c r="P803" i="13" s="1"/>
  <c r="N784" i="13"/>
  <c r="J535" i="13"/>
  <c r="O535" i="13"/>
  <c r="P535" i="13" s="1"/>
  <c r="O538" i="13"/>
  <c r="P538" i="13" s="1"/>
  <c r="J538" i="13"/>
  <c r="J624" i="13"/>
  <c r="O624" i="13"/>
  <c r="P624" i="13" s="1"/>
  <c r="O886" i="13"/>
  <c r="P886" i="13" s="1"/>
  <c r="J886" i="13"/>
  <c r="J452" i="13"/>
  <c r="O452" i="13"/>
  <c r="P452" i="13" s="1"/>
  <c r="J278" i="13"/>
  <c r="O278" i="13"/>
  <c r="P278" i="13" s="1"/>
  <c r="O281" i="13"/>
  <c r="P281" i="13" s="1"/>
  <c r="N262" i="13"/>
  <c r="J281" i="13"/>
  <c r="O277" i="13"/>
  <c r="P277" i="13" s="1"/>
  <c r="J277" i="13"/>
  <c r="J106" i="13"/>
  <c r="O106" i="13"/>
  <c r="P106" i="13" s="1"/>
  <c r="J192" i="13"/>
  <c r="O192" i="13"/>
  <c r="P192" i="13" s="1"/>
  <c r="H611" i="20"/>
  <c r="I551" i="20"/>
  <c r="J798" i="13"/>
  <c r="O798" i="13"/>
  <c r="P798" i="13" s="1"/>
  <c r="J280" i="13"/>
  <c r="O280" i="13"/>
  <c r="P280" i="13" s="1"/>
  <c r="O100" i="13"/>
  <c r="P100" i="13" s="1"/>
  <c r="J100" i="13"/>
  <c r="I160" i="13"/>
  <c r="J365" i="13"/>
  <c r="O365" i="13"/>
  <c r="P365" i="13" s="1"/>
  <c r="I191" i="20"/>
  <c r="H251" i="20"/>
  <c r="N449" i="20"/>
  <c r="N450" i="20" s="1"/>
  <c r="I468" i="20"/>
  <c r="I731" i="20"/>
  <c r="H791" i="20"/>
  <c r="H1061" i="20"/>
  <c r="I1001" i="20"/>
  <c r="J709" i="13"/>
  <c r="O709" i="13"/>
  <c r="P709" i="13" s="1"/>
  <c r="O797" i="13"/>
  <c r="P797" i="13" s="1"/>
  <c r="J797" i="13"/>
  <c r="J795" i="13"/>
  <c r="I855" i="13"/>
  <c r="J541" i="13"/>
  <c r="N523" i="13"/>
  <c r="O541" i="13"/>
  <c r="P541" i="13" s="1"/>
  <c r="J622" i="13"/>
  <c r="O622" i="13"/>
  <c r="P622" i="13" s="1"/>
  <c r="J882" i="13"/>
  <c r="I942" i="13"/>
  <c r="O279" i="13"/>
  <c r="P279" i="13" s="1"/>
  <c r="J279" i="13"/>
  <c r="O453" i="13"/>
  <c r="P453" i="13" s="1"/>
  <c r="J453" i="13"/>
  <c r="J273" i="13"/>
  <c r="I333" i="13"/>
  <c r="O273" i="13"/>
  <c r="P273" i="13" s="1"/>
  <c r="J104" i="13"/>
  <c r="O104" i="13"/>
  <c r="P104" i="13" s="1"/>
  <c r="J189" i="13"/>
  <c r="O189" i="13"/>
  <c r="P189" i="13" s="1"/>
  <c r="J363" i="13"/>
  <c r="O363" i="13"/>
  <c r="P363" i="13" s="1"/>
  <c r="O360" i="13"/>
  <c r="P360" i="13" s="1"/>
  <c r="J360" i="13"/>
  <c r="I420" i="13"/>
  <c r="I371" i="20"/>
  <c r="H431" i="20"/>
  <c r="I378" i="20"/>
  <c r="N359" i="20"/>
  <c r="N360" i="20" s="1"/>
  <c r="I738" i="20"/>
  <c r="N719" i="20"/>
  <c r="N720" i="20" s="1"/>
  <c r="J710" i="13"/>
  <c r="O710" i="13"/>
  <c r="P710" i="13" s="1"/>
  <c r="J799" i="13"/>
  <c r="O799" i="13"/>
  <c r="P799" i="13" s="1"/>
  <c r="J536" i="13"/>
  <c r="O536" i="13"/>
  <c r="P536" i="13" s="1"/>
  <c r="O534" i="13"/>
  <c r="P534" i="13" s="1"/>
  <c r="J534" i="13"/>
  <c r="I594" i="13"/>
  <c r="O448" i="13"/>
  <c r="P448" i="13" s="1"/>
  <c r="J448" i="13"/>
  <c r="N89" i="20"/>
  <c r="I109" i="20"/>
  <c r="J714" i="13"/>
  <c r="O714" i="13"/>
  <c r="P714" i="13" s="1"/>
  <c r="N958" i="13"/>
  <c r="J974" i="13"/>
  <c r="O974" i="13"/>
  <c r="P974" i="13" s="1"/>
  <c r="O800" i="13"/>
  <c r="P800" i="13" s="1"/>
  <c r="J800" i="13"/>
  <c r="O628" i="13"/>
  <c r="P628" i="13" s="1"/>
  <c r="J628" i="13"/>
  <c r="N610" i="13"/>
  <c r="J885" i="13"/>
  <c r="O885" i="13"/>
  <c r="P885" i="13" s="1"/>
  <c r="J450" i="13"/>
  <c r="O450" i="13"/>
  <c r="P450" i="13" s="1"/>
  <c r="J451" i="13"/>
  <c r="O451" i="13"/>
  <c r="P451" i="13" s="1"/>
  <c r="J276" i="13"/>
  <c r="O276" i="13"/>
  <c r="P276" i="13" s="1"/>
  <c r="N809" i="20"/>
  <c r="N810" i="20" s="1"/>
  <c r="I829" i="20"/>
  <c r="O712" i="13"/>
  <c r="P712" i="13" s="1"/>
  <c r="J712" i="13"/>
  <c r="J539" i="13"/>
  <c r="O539" i="13"/>
  <c r="P539" i="13" s="1"/>
  <c r="J108" i="13"/>
  <c r="O108" i="13"/>
  <c r="P108" i="13" s="1"/>
  <c r="N89" i="13"/>
  <c r="O101" i="13"/>
  <c r="P101" i="13" s="1"/>
  <c r="J101" i="13"/>
  <c r="J190" i="13"/>
  <c r="O190" i="13"/>
  <c r="P190" i="13" s="1"/>
  <c r="J107" i="13"/>
  <c r="O107" i="13"/>
  <c r="P107" i="13" s="1"/>
  <c r="J102" i="13"/>
  <c r="O102" i="13"/>
  <c r="P102" i="13" s="1"/>
  <c r="O188" i="13"/>
  <c r="P188" i="13" s="1"/>
  <c r="J188" i="13"/>
  <c r="J362" i="13"/>
  <c r="O362" i="13"/>
  <c r="P362" i="13" s="1"/>
  <c r="O366" i="13"/>
  <c r="P366" i="13" s="1"/>
  <c r="J366" i="13"/>
  <c r="I641" i="20"/>
  <c r="H701" i="20"/>
  <c r="N269" i="20"/>
  <c r="N270" i="20" s="1"/>
  <c r="I289" i="20"/>
  <c r="I821" i="20"/>
  <c r="I881" i="20" s="1"/>
  <c r="H881" i="20"/>
  <c r="I917" i="20"/>
  <c r="N899" i="20"/>
  <c r="N900" i="20" s="1"/>
  <c r="I199" i="20"/>
  <c r="N179" i="20"/>
  <c r="N180" i="20" s="1"/>
  <c r="I648" i="20"/>
  <c r="N629" i="20"/>
  <c r="N630" i="20" s="1"/>
  <c r="O715" i="13"/>
  <c r="P715" i="13" s="1"/>
  <c r="J715" i="13"/>
  <c r="N697" i="13"/>
  <c r="O969" i="13"/>
  <c r="P969" i="13" s="1"/>
  <c r="J969" i="13"/>
  <c r="I1029" i="13"/>
  <c r="J973" i="13"/>
  <c r="O973" i="13"/>
  <c r="P973" i="13" s="1"/>
  <c r="J801" i="13"/>
  <c r="O801" i="13"/>
  <c r="P801" i="13" s="1"/>
  <c r="J540" i="13"/>
  <c r="O540" i="13"/>
  <c r="P540" i="13" s="1"/>
  <c r="J621" i="13"/>
  <c r="O621" i="13"/>
  <c r="P621" i="13" s="1"/>
  <c r="I681" i="13"/>
  <c r="J884" i="13"/>
  <c r="O884" i="13"/>
  <c r="P884" i="13" s="1"/>
  <c r="N871" i="13"/>
  <c r="J888" i="13"/>
  <c r="O888" i="13"/>
  <c r="P888" i="13" s="1"/>
  <c r="I507" i="13"/>
  <c r="J447" i="13"/>
  <c r="O447" i="13"/>
  <c r="P447" i="13" s="1"/>
  <c r="O449" i="13"/>
  <c r="P449" i="13" s="1"/>
  <c r="J449" i="13"/>
  <c r="J103" i="13"/>
  <c r="O103" i="13"/>
  <c r="P103" i="13" s="1"/>
  <c r="O191" i="13"/>
  <c r="P191" i="13" s="1"/>
  <c r="J191" i="13"/>
  <c r="O367" i="13"/>
  <c r="P367" i="13" s="1"/>
  <c r="J367" i="13"/>
  <c r="N349" i="13"/>
  <c r="O364" i="13"/>
  <c r="P364" i="13" s="1"/>
  <c r="J364" i="13"/>
  <c r="H971" i="20"/>
  <c r="I911" i="20"/>
  <c r="I281" i="20"/>
  <c r="H341" i="20"/>
  <c r="I101" i="20"/>
  <c r="H161" i="20"/>
  <c r="I1006" i="20"/>
  <c r="N989" i="20"/>
  <c r="N990" i="20" s="1"/>
  <c r="O708" i="13"/>
  <c r="P708" i="13" s="1"/>
  <c r="J708" i="13"/>
  <c r="I768" i="13"/>
  <c r="J971" i="13"/>
  <c r="O971" i="13"/>
  <c r="P971" i="13" s="1"/>
  <c r="J972" i="13"/>
  <c r="O972" i="13"/>
  <c r="P972" i="13" s="1"/>
  <c r="O623" i="13"/>
  <c r="P623" i="13" s="1"/>
  <c r="J623" i="13"/>
  <c r="N22" i="13"/>
  <c r="M90" i="13"/>
  <c r="O275" i="13"/>
  <c r="P275" i="13" s="1"/>
  <c r="J275" i="13"/>
  <c r="J105" i="13"/>
  <c r="O105" i="13"/>
  <c r="P105" i="13" s="1"/>
  <c r="O186" i="13"/>
  <c r="P186" i="13" s="1"/>
  <c r="I246" i="13"/>
  <c r="J186" i="13"/>
  <c r="J193" i="13"/>
  <c r="O193" i="13"/>
  <c r="P193" i="13" s="1"/>
  <c r="J361" i="13"/>
  <c r="O361" i="13"/>
  <c r="P361" i="13" s="1"/>
  <c r="J711" i="13"/>
  <c r="O711" i="13"/>
  <c r="P711" i="13" s="1"/>
  <c r="O970" i="13"/>
  <c r="P970" i="13" s="1"/>
  <c r="J970" i="13"/>
  <c r="J802" i="13"/>
  <c r="O802" i="13"/>
  <c r="P802" i="13" s="1"/>
  <c r="O627" i="13"/>
  <c r="P627" i="13" s="1"/>
  <c r="J627" i="13"/>
  <c r="O626" i="13"/>
  <c r="P626" i="13" s="1"/>
  <c r="J626" i="13"/>
  <c r="J625" i="13"/>
  <c r="O625" i="13"/>
  <c r="P625" i="13" s="1"/>
  <c r="J887" i="13"/>
  <c r="O887" i="13"/>
  <c r="P887" i="13" s="1"/>
  <c r="J454" i="13"/>
  <c r="N436" i="13"/>
  <c r="O454" i="13"/>
  <c r="P454" i="13" s="1"/>
  <c r="O274" i="13"/>
  <c r="P274" i="13" s="1"/>
  <c r="J274" i="13"/>
  <c r="I971" i="20" l="1"/>
  <c r="I431" i="20"/>
  <c r="I791" i="20"/>
  <c r="I161" i="20"/>
  <c r="N263" i="13"/>
  <c r="O262" i="13"/>
  <c r="O263" i="13" s="1"/>
  <c r="J855" i="13"/>
  <c r="J160" i="13"/>
  <c r="O175" i="13"/>
  <c r="O176" i="13" s="1"/>
  <c r="N176" i="13"/>
  <c r="O349" i="13"/>
  <c r="O350" i="13" s="1"/>
  <c r="N350" i="13"/>
  <c r="J420" i="13"/>
  <c r="J942" i="13"/>
  <c r="N437" i="13"/>
  <c r="O436" i="13"/>
  <c r="O437" i="13" s="1"/>
  <c r="J507" i="13"/>
  <c r="O89" i="13"/>
  <c r="O90" i="13" s="1"/>
  <c r="O22" i="13"/>
  <c r="N90" i="13"/>
  <c r="O958" i="13"/>
  <c r="O959" i="13" s="1"/>
  <c r="N959" i="13"/>
  <c r="J594" i="13"/>
  <c r="I341" i="20"/>
  <c r="J681" i="13"/>
  <c r="J1029" i="13"/>
  <c r="I701" i="20"/>
  <c r="N611" i="13"/>
  <c r="O610" i="13"/>
  <c r="O611" i="13" s="1"/>
  <c r="J333" i="13"/>
  <c r="N23" i="13"/>
  <c r="G24" i="2"/>
  <c r="L24" i="2" s="1"/>
  <c r="J768" i="13"/>
  <c r="I251" i="20"/>
  <c r="O697" i="13"/>
  <c r="O698" i="13" s="1"/>
  <c r="N698" i="13"/>
  <c r="N524" i="13"/>
  <c r="O523" i="13"/>
  <c r="O524" i="13" s="1"/>
  <c r="I1061" i="20"/>
  <c r="O784" i="13"/>
  <c r="O785" i="13" s="1"/>
  <c r="N785" i="13"/>
  <c r="I521" i="20"/>
  <c r="J246" i="13"/>
  <c r="N872" i="13"/>
  <c r="O871" i="13"/>
  <c r="O872" i="13" s="1"/>
  <c r="N26" i="20"/>
  <c r="O26" i="20" s="1"/>
  <c r="L36" i="2" s="1"/>
  <c r="N90" i="20"/>
  <c r="I611" i="20"/>
  <c r="O23" i="13" l="1"/>
  <c r="P22" i="13"/>
  <c r="P23" i="13" s="1"/>
</calcChain>
</file>

<file path=xl/sharedStrings.xml><?xml version="1.0" encoding="utf-8"?>
<sst xmlns="http://schemas.openxmlformats.org/spreadsheetml/2006/main" count="3083" uniqueCount="1090">
  <si>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</si>
  <si>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</si>
  <si>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</si>
  <si>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</si>
  <si>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</si>
  <si>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</si>
  <si>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</si>
  <si>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</si>
  <si>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</si>
  <si>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</si>
  <si>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</si>
  <si>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</si>
  <si>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</si>
  <si>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</si>
  <si>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</si>
  <si>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</si>
  <si>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</si>
  <si>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</si>
  <si>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</si>
  <si>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</si>
  <si>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</si>
  <si>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</si>
  <si>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</si>
  <si>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</si>
  <si>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</si>
  <si>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</si>
  <si>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</si>
  <si>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</si>
  <si>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</si>
  <si>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</si>
  <si>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</si>
  <si>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</si>
  <si>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</si>
  <si>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</si>
  <si>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</si>
  <si>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</si>
  <si>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</si>
  <si>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</si>
  <si>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</si>
  <si>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</si>
  <si>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</si>
  <si>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</si>
  <si>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</si>
  <si>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</si>
  <si>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</si>
  <si>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</si>
  <si>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</si>
  <si>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</si>
  <si>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</si>
  <si>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</si>
  <si>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</si>
  <si>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</si>
  <si>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</si>
  <si>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</si>
  <si>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</si>
  <si>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</si>
  <si>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</si>
  <si>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</si>
  <si>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</si>
  <si>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</si>
  <si>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</si>
  <si>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</si>
  <si>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</si>
  <si>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</si>
  <si>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</si>
  <si>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</si>
  <si>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</si>
  <si>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</si>
  <si>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</si>
  <si>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</si>
  <si>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</si>
  <si>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</si>
  <si>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</si>
  <si>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</si>
  <si>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</si>
  <si>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</si>
  <si>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</si>
  <si>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</si>
  <si>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</si>
  <si>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</si>
  <si>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</si>
  <si>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</si>
  <si>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</si>
  <si>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</si>
  <si>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</si>
  <si>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</si>
  <si>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</si>
  <si>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</si>
  <si>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</si>
  <si>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</si>
  <si>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</si>
  <si>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</si>
  <si>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</si>
  <si>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</si>
  <si>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</si>
  <si>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</si>
  <si>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</si>
  <si>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</si>
  <si>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</si>
  <si>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</si>
  <si>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</si>
  <si>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</si>
  <si>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</si>
  <si>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</si>
  <si>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</si>
  <si>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</si>
  <si>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</si>
  <si>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</si>
  <si>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</si>
  <si>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</si>
  <si>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</si>
  <si>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</si>
  <si>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</si>
  <si>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</si>
  <si>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</si>
  <si>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</si>
  <si>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</si>
  <si>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</si>
  <si>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</si>
  <si>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</si>
  <si>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</si>
  <si>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</si>
  <si>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</si>
  <si>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</si>
  <si>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</si>
  <si>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</si>
  <si>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</si>
  <si>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</si>
  <si>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</si>
  <si>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</si>
  <si>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</si>
  <si>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</si>
  <si>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</si>
  <si>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</si>
  <si>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</si>
  <si>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</si>
  <si>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</si>
  <si>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</si>
  <si>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</si>
  <si>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</si>
  <si>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</si>
  <si>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</si>
  <si>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</si>
  <si>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</si>
  <si>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</si>
  <si>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</si>
  <si>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</si>
  <si>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</si>
  <si>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</si>
  <si>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</si>
  <si>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</si>
  <si>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</si>
  <si>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</si>
  <si>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</si>
  <si>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</si>
  <si>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</si>
  <si>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</si>
  <si>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</si>
  <si>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</si>
  <si>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</si>
  <si>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</si>
  <si>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</si>
  <si>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</si>
  <si>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</si>
  <si>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</si>
  <si>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</si>
  <si>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</si>
  <si>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</si>
  <si>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</si>
  <si>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</si>
  <si>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</si>
  <si>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</si>
  <si>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</si>
  <si>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</si>
  <si>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</si>
  <si>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</si>
  <si>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</si>
  <si>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</si>
  <si>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</si>
  <si>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</si>
  <si>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</si>
  <si>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</si>
  <si>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</si>
  <si>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</si>
  <si>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</si>
  <si>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</si>
  <si>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</si>
  <si>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</si>
  <si>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</si>
  <si>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</si>
  <si>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</si>
  <si>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</si>
  <si>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</si>
  <si>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</si>
  <si>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</si>
  <si>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</si>
  <si>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</si>
  <si>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</si>
  <si>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</si>
  <si>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</si>
  <si>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</si>
  <si>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</si>
  <si>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</si>
  <si>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</si>
  <si>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</si>
  <si>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</si>
  <si>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</si>
  <si>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</si>
  <si>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</si>
  <si>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</si>
  <si>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</si>
  <si>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</si>
  <si>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</si>
  <si>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</si>
  <si>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</si>
  <si>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</si>
  <si>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</si>
  <si>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</si>
  <si>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</si>
  <si>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</si>
  <si>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</si>
  <si>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</si>
  <si>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</si>
  <si>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</si>
  <si>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</si>
  <si>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</si>
  <si>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</si>
  <si>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</si>
  <si>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</si>
  <si>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</si>
  <si>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</si>
  <si>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</si>
  <si>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</si>
  <si>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</si>
  <si>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</si>
  <si>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</si>
  <si>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</si>
  <si>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</si>
  <si>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</si>
  <si>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</si>
  <si>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</si>
  <si>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</si>
  <si>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</si>
  <si>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</si>
  <si>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</si>
  <si>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</si>
  <si>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</si>
  <si>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</si>
  <si>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</si>
  <si>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</si>
  <si>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</si>
  <si>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</si>
  <si>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</si>
  <si>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</si>
  <si>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</si>
  <si>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</si>
  <si>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</si>
  <si>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</si>
  <si>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</si>
  <si>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</si>
  <si>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</si>
  <si>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</si>
  <si>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</si>
  <si>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</si>
  <si>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</si>
  <si>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</si>
  <si>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</si>
  <si>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</si>
  <si>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</si>
  <si>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</si>
  <si>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</si>
  <si>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</si>
  <si>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</si>
  <si>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</si>
  <si>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</si>
  <si>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</si>
  <si>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</si>
  <si>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</si>
  <si>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</si>
  <si>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</si>
  <si>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</si>
  <si>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</si>
  <si>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</si>
  <si>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</si>
  <si>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</si>
  <si>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</si>
  <si>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</si>
  <si>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</si>
  <si>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</si>
  <si>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</si>
  <si>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</si>
  <si>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</si>
  <si>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</si>
  <si>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</si>
  <si>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</si>
  <si>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</si>
  <si>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</si>
  <si>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</si>
  <si>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</si>
  <si>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</si>
  <si>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</si>
  <si>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</si>
  <si>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</si>
  <si>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</si>
  <si>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</si>
  <si>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</si>
  <si>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</si>
  <si>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</si>
  <si>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</si>
  <si>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</si>
  <si>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</si>
  <si>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</si>
  <si>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</si>
  <si>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</si>
  <si>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</si>
  <si>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</si>
  <si>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</si>
  <si>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</si>
  <si>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</si>
  <si>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</si>
  <si>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</si>
  <si>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</si>
  <si>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</si>
  <si>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</si>
  <si>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</si>
  <si>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</si>
  <si>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</si>
  <si>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</si>
  <si>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</si>
  <si>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</si>
  <si>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</si>
  <si>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</si>
  <si>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</si>
  <si>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</si>
  <si>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</si>
  <si>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</si>
  <si>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</si>
  <si>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</si>
  <si>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</si>
  <si>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</si>
  <si>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</si>
  <si>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</si>
  <si>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</si>
  <si>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</si>
  <si>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</si>
  <si>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</si>
  <si>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</si>
  <si>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</si>
  <si>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</si>
  <si>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</si>
  <si>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</si>
  <si>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</si>
  <si>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</si>
  <si>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</si>
  <si>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</si>
  <si>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</si>
  <si>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</si>
  <si>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</si>
  <si>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</si>
  <si>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</si>
  <si>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</si>
  <si>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</si>
  <si>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</si>
  <si>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</si>
  <si>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</si>
  <si>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</si>
  <si>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</si>
  <si>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</si>
  <si>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</si>
  <si>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</si>
  <si>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</si>
  <si>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</si>
  <si>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</si>
  <si>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</si>
  <si>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</si>
  <si>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</si>
  <si>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</si>
  <si>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</si>
  <si>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</si>
  <si>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</si>
  <si>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</si>
  <si>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</si>
  <si>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</si>
  <si>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</si>
  <si>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</si>
  <si>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</si>
  <si>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</si>
  <si>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</si>
  <si>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</si>
  <si>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</si>
  <si>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</si>
  <si>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</si>
  <si>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</si>
  <si>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</si>
  <si>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</si>
  <si>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</si>
  <si>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</si>
  <si>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</si>
  <si>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</si>
  <si>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</si>
  <si>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</si>
  <si>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</si>
  <si>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</si>
  <si>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</si>
  <si>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</si>
  <si>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</si>
  <si>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</si>
  <si>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</si>
  <si>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</si>
  <si>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</si>
  <si>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</si>
  <si>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</si>
  <si>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</si>
  <si>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</si>
  <si>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</si>
  <si>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</si>
  <si>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</si>
  <si>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</si>
  <si>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</si>
  <si>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</si>
  <si>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</si>
  <si>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</si>
  <si>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</si>
  <si>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</si>
  <si>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</si>
  <si>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</si>
  <si>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</si>
  <si>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</si>
  <si>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</si>
  <si>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</si>
  <si>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</si>
  <si>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</si>
  <si>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</si>
  <si>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</si>
  <si>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</si>
  <si>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</si>
  <si>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</si>
  <si>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</si>
  <si>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</si>
  <si>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</si>
  <si>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</si>
  <si>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</si>
  <si>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</si>
  <si>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</si>
  <si>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</si>
  <si>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</si>
  <si>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</si>
  <si>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</si>
  <si>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</si>
  <si>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</si>
  <si>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</si>
  <si>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</si>
  <si>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</si>
  <si>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</si>
  <si>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</si>
  <si>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</si>
  <si>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</si>
  <si>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</si>
  <si>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</si>
  <si>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</si>
  <si>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</si>
  <si>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</si>
  <si>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</si>
  <si>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</si>
  <si>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</si>
  <si>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</si>
  <si>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</si>
  <si>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</si>
  <si>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</si>
  <si>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</si>
  <si>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</si>
  <si>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</si>
  <si>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</si>
  <si>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</si>
  <si>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</si>
  <si>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</si>
  <si>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</si>
  <si>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</si>
  <si>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</si>
  <si>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</si>
  <si>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</si>
  <si>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</si>
  <si>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</si>
  <si>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</si>
  <si>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</si>
  <si>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</si>
  <si>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</si>
  <si>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</si>
  <si>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</si>
  <si>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</si>
  <si>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</si>
  <si>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</si>
  <si>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</si>
  <si>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</si>
  <si>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</si>
  <si>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</si>
  <si>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</si>
  <si>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</si>
  <si>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</si>
  <si>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</si>
  <si>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</si>
  <si>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</si>
  <si>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</si>
  <si>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</si>
  <si>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</si>
  <si>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</si>
  <si>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</si>
  <si>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</si>
  <si>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</si>
  <si>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</si>
  <si>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</si>
  <si>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</si>
  <si>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</si>
  <si>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</si>
  <si>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</si>
  <si>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</si>
  <si>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</si>
  <si>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</si>
  <si>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</si>
  <si>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</si>
  <si>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</si>
  <si>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</si>
  <si>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</si>
  <si>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</si>
  <si>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</si>
  <si>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</si>
  <si>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</si>
  <si>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</si>
  <si>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</si>
  <si>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</si>
  <si>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</si>
  <si>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</si>
  <si>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</si>
  <si>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</si>
  <si>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</si>
  <si>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</si>
  <si>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</si>
  <si>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</si>
  <si>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</si>
  <si>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</si>
  <si>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</si>
  <si>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</si>
  <si>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</si>
  <si>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</si>
  <si>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</si>
  <si>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</si>
  <si>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</si>
  <si>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</si>
  <si>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</si>
  <si>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</si>
  <si>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</si>
  <si>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</si>
  <si>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</si>
  <si>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</si>
  <si>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</si>
  <si>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</si>
  <si>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</si>
  <si>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</si>
  <si>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</si>
  <si>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</si>
  <si>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</si>
  <si>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</si>
  <si>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</si>
  <si>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</si>
  <si>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</si>
  <si>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</si>
  <si>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</si>
  <si>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</si>
  <si>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</si>
  <si>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</si>
  <si>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</si>
  <si>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</si>
  <si>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</si>
  <si>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</si>
  <si>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</si>
  <si>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</si>
  <si>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</si>
  <si>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</si>
  <si>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</si>
  <si>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</si>
  <si>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</si>
  <si>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</si>
  <si>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</si>
  <si>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</si>
  <si>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</si>
  <si>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</si>
  <si>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</si>
  <si>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</si>
  <si>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</si>
  <si>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</si>
  <si>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</si>
  <si>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</si>
  <si>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</si>
  <si>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</si>
  <si>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</si>
  <si>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</si>
  <si>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</si>
  <si>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</si>
  <si>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</si>
  <si>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</si>
  <si>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</si>
  <si>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</si>
  <si>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</si>
  <si>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</si>
  <si>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</si>
  <si>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</si>
  <si>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</si>
  <si>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</si>
  <si>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</si>
  <si>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</si>
  <si>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</si>
  <si>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</si>
  <si>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</si>
  <si>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</si>
  <si>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</si>
  <si>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</si>
  <si>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</si>
  <si>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</si>
  <si>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</si>
  <si>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</si>
  <si>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</si>
  <si>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</si>
  <si>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</si>
  <si>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</si>
  <si>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</si>
  <si>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</si>
  <si>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</si>
  <si>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</si>
  <si>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</si>
  <si>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</si>
  <si>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</si>
  <si>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</si>
  <si>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</si>
  <si>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</si>
  <si>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</si>
  <si>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</si>
  <si>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</si>
  <si>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</si>
  <si>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</si>
  <si>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</si>
  <si>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</si>
  <si>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</si>
  <si>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</si>
  <si>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</si>
  <si>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</si>
  <si>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</si>
  <si>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</si>
  <si>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</si>
  <si>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</si>
  <si>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</si>
  <si>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</si>
  <si>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</si>
  <si>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</si>
  <si>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</si>
  <si>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</si>
  <si>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</si>
  <si>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</si>
  <si>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</si>
  <si>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</si>
  <si>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</si>
  <si>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</si>
  <si>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</si>
  <si>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</si>
  <si>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</si>
  <si>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</si>
  <si>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</si>
  <si>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</si>
  <si>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</si>
  <si>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</si>
  <si>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</si>
  <si>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</si>
  <si>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</si>
  <si>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</si>
  <si>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</si>
  <si>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</si>
  <si>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</si>
  <si>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</si>
  <si>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</si>
  <si>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</si>
  <si>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</si>
  <si>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</si>
  <si>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</si>
  <si>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</si>
  <si>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</si>
  <si>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</si>
  <si>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</si>
  <si>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</si>
  <si>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</si>
  <si>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</si>
  <si>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</si>
  <si>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</si>
  <si>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</si>
  <si>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</si>
  <si>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</si>
  <si>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</si>
  <si>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</si>
  <si>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</si>
  <si>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</si>
  <si>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</si>
  <si>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</si>
  <si>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</si>
  <si>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</si>
  <si>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</si>
  <si>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</si>
  <si>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</si>
  <si>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</si>
  <si>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</si>
  <si>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</si>
  <si>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</si>
  <si>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</si>
  <si>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</si>
  <si>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</si>
  <si>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</si>
  <si>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</si>
  <si>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</si>
  <si>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</si>
  <si>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</si>
  <si>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</si>
  <si>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</si>
  <si>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</si>
  <si>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</si>
  <si>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</si>
  <si>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</si>
  <si>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</si>
  <si>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</si>
  <si>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</si>
  <si>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</si>
  <si>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</si>
  <si>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</si>
  <si>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</si>
  <si>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</si>
  <si>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</si>
  <si>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</si>
  <si>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</si>
  <si>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</si>
  <si>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</si>
  <si>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</si>
  <si>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</si>
  <si>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</si>
  <si>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</si>
  <si>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</si>
  <si>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</si>
  <si>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</si>
  <si>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</si>
  <si>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</si>
  <si>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</si>
  <si>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</si>
  <si>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</si>
  <si>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</si>
  <si>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</si>
  <si>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</si>
  <si>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</si>
  <si>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</si>
  <si>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</si>
  <si>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</si>
  <si>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</si>
  <si>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</si>
  <si>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</si>
  <si>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</si>
  <si>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</si>
  <si>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</si>
  <si>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</si>
  <si>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</si>
  <si>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</si>
  <si>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</si>
  <si>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</si>
  <si>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</si>
  <si>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</si>
  <si>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</si>
  <si>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</si>
  <si>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</si>
  <si>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</si>
  <si>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</si>
  <si>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</si>
  <si>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</si>
  <si>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</si>
  <si>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</si>
  <si>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</si>
  <si>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</si>
  <si>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</si>
  <si>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</si>
  <si>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</si>
  <si>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</si>
  <si>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</si>
  <si>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</si>
  <si>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</si>
  <si>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</si>
  <si>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</si>
  <si>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</si>
  <si>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</si>
  <si>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</si>
  <si>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</si>
  <si>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</si>
  <si>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</si>
  <si>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</si>
  <si>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</si>
  <si>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</si>
  <si>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</si>
  <si>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</si>
  <si>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</si>
  <si>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</si>
  <si>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</si>
  <si>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</si>
  <si>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</si>
  <si>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Prepaid Insurance</t>
  </si>
  <si>
    <t>Prepaid Insurance - EIS</t>
  </si>
  <si>
    <t>Prepaid Lease</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</si>
  <si>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</si>
  <si>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</si>
  <si>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</si>
  <si>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</si>
  <si>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</si>
  <si>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</si>
  <si>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</si>
  <si>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</si>
  <si>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</si>
  <si>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</si>
  <si>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</si>
  <si>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</si>
  <si>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</si>
  <si>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</si>
  <si>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</si>
  <si>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</si>
  <si>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</si>
  <si>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</si>
  <si>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</si>
  <si>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</si>
  <si>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</si>
  <si>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</si>
  <si>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</si>
  <si>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</si>
  <si>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</si>
  <si>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</si>
  <si>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</si>
  <si>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</si>
  <si>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</si>
  <si>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</si>
  <si>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</si>
  <si>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</si>
  <si>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</si>
  <si>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</si>
  <si>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</si>
  <si>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</si>
  <si>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</si>
  <si>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</si>
  <si>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</si>
  <si>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</si>
  <si>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</si>
  <si>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</si>
  <si>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9302003</t>
  </si>
  <si>
    <t>9302007</t>
  </si>
  <si>
    <t>BOOK VS. TAX DEPRECIATION</t>
  </si>
  <si>
    <t>R &amp; D DEDUCTION - SECTION 174</t>
  </si>
  <si>
    <t>GAIN/LOSS ON ACRS/MACRS PROPERTY</t>
  </si>
  <si>
    <t>ABFUDC</t>
  </si>
  <si>
    <t>INT EXP CAPITALIZED FOR TAX</t>
  </si>
  <si>
    <t>CIAC - BOOK RECEIPTS</t>
  </si>
  <si>
    <t>BOOK/TAX UNIT OF PROPERTY ADJ</t>
  </si>
  <si>
    <t>BK/TX UNIT OF PROPERTY ADJ-SEC 481 ADJ</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</si>
  <si>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</si>
  <si>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</si>
  <si>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</si>
  <si>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</si>
  <si>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</si>
  <si>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</si>
  <si>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</si>
  <si>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</si>
  <si>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&amp; TAX CREDIT C/F - DEF TAX ASSET</t>
  </si>
  <si>
    <t>PROPERTY TAX-NEW METHOD-BOOK</t>
  </si>
  <si>
    <t>NON-UTILITY DEFERRED FIT 283.2</t>
  </si>
  <si>
    <t>SFAS 109 FLOW-THRU 283.3</t>
  </si>
  <si>
    <t>SFAS 109 EXCESS DFIT 283.4</t>
  </si>
  <si>
    <t>SFAS 133 ADIT FED - SFAS 133 NONAFFIL 2830006</t>
  </si>
  <si>
    <t>ADIT - FED-HDG-CF-INT RATE 2830015</t>
  </si>
  <si>
    <t>PROV POSS REV REFDS</t>
  </si>
  <si>
    <t>ACCRD COMPANYWIDE INCENTV PLAN</t>
  </si>
  <si>
    <t>AMT CREDIT - DEFERRED</t>
  </si>
  <si>
    <t>DEFERRED SIT  1901002</t>
  </si>
  <si>
    <t>SFAS 109 FLOW-THRU 190.3</t>
  </si>
  <si>
    <t>SFAS 109 EXCESS DFIT 190.4</t>
  </si>
  <si>
    <t>ADIT FED - PENSION OCI NAF 1900009</t>
  </si>
  <si>
    <t>ADIT-FED-HDG-CF-INT RATE1900015</t>
  </si>
  <si>
    <t>NOL-STATE C/F-DEF TAX ASSET-L/T - WV</t>
  </si>
  <si>
    <t>481 a BONUS DEPRECIATION</t>
  </si>
  <si>
    <t>TAX DEPRECIATION LOOKBACK</t>
  </si>
  <si>
    <t>GENERAL PLANT</t>
  </si>
  <si>
    <t>Stores Equipment</t>
  </si>
  <si>
    <t>Laboratory Equipment</t>
  </si>
  <si>
    <t>WEST VIRGINIA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</si>
  <si>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</si>
  <si>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</si>
  <si>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</si>
  <si>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</si>
  <si>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</si>
  <si>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</si>
  <si>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</si>
  <si>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</si>
  <si>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</si>
  <si>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</si>
  <si>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</si>
  <si>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Excess ADIT in Utility Deferrals</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</si>
  <si>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</si>
  <si>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</si>
  <si>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</si>
  <si>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</si>
  <si>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</si>
  <si>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</si>
  <si>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</si>
  <si>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</si>
  <si>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</si>
  <si>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</si>
  <si>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</si>
  <si>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</si>
  <si>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</si>
  <si>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</si>
  <si>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</si>
  <si>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</si>
  <si>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</si>
  <si>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</si>
  <si>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</si>
  <si>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</si>
  <si>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</si>
  <si>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</si>
  <si>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</si>
  <si>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</si>
  <si>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</si>
  <si>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</si>
  <si>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</si>
  <si>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</si>
  <si>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</si>
  <si>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</si>
  <si>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</si>
  <si>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</si>
  <si>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</si>
  <si>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</si>
  <si>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</si>
  <si>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</si>
  <si>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</si>
  <si>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</si>
  <si>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</si>
  <si>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</si>
  <si>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</si>
  <si>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</si>
  <si>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</si>
  <si>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</si>
  <si>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</si>
  <si>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</si>
  <si>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</si>
  <si>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</si>
  <si>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</si>
  <si>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 5.15</t>
  </si>
  <si>
    <t>2018 Forecasted Revenue Requirement For Year 2018</t>
  </si>
  <si>
    <t>An over or under collection will be recovered prorata over 2018, held for 2019 and returned prorate over 2020</t>
  </si>
  <si>
    <t>INSURANCE PREMIUMS ACCRUED</t>
  </si>
  <si>
    <t>BOOK OPERATING LEASE - LIAB</t>
  </si>
  <si>
    <t>BOOK OPERATING LEASE - ASSET</t>
  </si>
  <si>
    <t>REG ASSET-DEPR EXP DEFERRAL - VA</t>
  </si>
  <si>
    <t>9301014</t>
  </si>
  <si>
    <t>Video Communications</t>
  </si>
  <si>
    <t>9302017</t>
  </si>
  <si>
    <t>SellingPrice Normalization Exp</t>
  </si>
  <si>
    <t>WS B - 1 Col N, ADIT Item 5.16</t>
  </si>
  <si>
    <t>WS B - 1 Col B/C, ADIT Item 5.19</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</si>
  <si>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</si>
  <si>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</si>
  <si>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</si>
  <si>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</si>
  <si>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</si>
  <si>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</si>
  <si>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</si>
  <si>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</si>
  <si>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</si>
  <si>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</si>
  <si>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</si>
  <si>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</si>
  <si>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</si>
  <si>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EFFECTIVE AS OF JANUARY 1, 2020</t>
  </si>
  <si>
    <r>
      <t xml:space="preserve">Note: </t>
    </r>
    <r>
      <rPr>
        <sz val="12"/>
        <rFont val="Arial MT"/>
      </rPr>
      <t>Per the Settlement in Docket No. ER21-735, Appendix A.1.2, AEP WEST VIRIGINIA TRANSMISSION COMPANY shall use the depreciation rates shown above by FERC Account until such time as the FERC approves new depreciation rates pusuant to a Section 205 or 206 filing to change rates.</t>
    </r>
  </si>
  <si>
    <t>NOL ADJUSTMENT</t>
  </si>
  <si>
    <t>NOL CONTRA</t>
  </si>
  <si>
    <t>9302004</t>
  </si>
  <si>
    <t>Research, Develop&amp;Demonstr Exp</t>
  </si>
  <si>
    <t>REG ASSET-FERC Formula Rates Under Recvr</t>
  </si>
  <si>
    <t>EXCESS DSIT - UNPROTECTED WV</t>
  </si>
  <si>
    <t>Accum Deferred SIT - Excess 1904002</t>
  </si>
  <si>
    <r>
      <t>283</t>
    </r>
    <r>
      <rPr>
        <sz val="9"/>
        <color indexed="10"/>
        <rFont val="Arial"/>
        <family val="2"/>
      </rPr>
      <t>4</t>
    </r>
    <r>
      <rPr>
        <sz val="9"/>
        <rFont val="Arial"/>
        <family val="2"/>
      </rPr>
      <t>002</t>
    </r>
  </si>
  <si>
    <r>
      <t>190</t>
    </r>
    <r>
      <rPr>
        <sz val="9"/>
        <color indexed="10"/>
        <rFont val="Arial"/>
        <family val="2"/>
      </rPr>
      <t>4</t>
    </r>
    <r>
      <rPr>
        <sz val="9"/>
        <rFont val="Arial"/>
        <family val="2"/>
      </rPr>
      <t>002</t>
    </r>
  </si>
  <si>
    <t>WS B - 2 Col B/C, ADIT Item 2.16</t>
  </si>
  <si>
    <t>P. 263,Ln. 16(i)</t>
  </si>
  <si>
    <t>P. 263,Ln. 17(i)</t>
  </si>
  <si>
    <t>FBOS</t>
  </si>
  <si>
    <t>ADSIT - Other</t>
  </si>
  <si>
    <t>2831001</t>
  </si>
  <si>
    <t>2831002</t>
  </si>
  <si>
    <t>WS B - 1 Col N, ADIT Item 9.05</t>
  </si>
  <si>
    <t>Accum Deferred SIT - Excess 283.4002</t>
  </si>
  <si>
    <t>WS B - 1 Col N, ADIT Item 9.12</t>
  </si>
  <si>
    <t>1i</t>
  </si>
  <si>
    <t>1j</t>
  </si>
  <si>
    <t>1k</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</si>
  <si>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</si>
  <si>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</si>
  <si>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ATTACHMENT H-20B</t>
  </si>
  <si>
    <t>WORKSHEET B-3-X</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</si>
  <si>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</si>
  <si>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</si>
  <si>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</si>
  <si>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</si>
  <si>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</si>
  <si>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</si>
  <si>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</si>
  <si>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</si>
  <si>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</si>
  <si>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AEP EAST TRANSMISSION COMPANIES</t>
  </si>
  <si>
    <t>Docket ER20-1888-000</t>
  </si>
  <si>
    <t>WEST VIRGINIA TRANSMISSION COMPANY</t>
  </si>
  <si>
    <t>Compliance Filing</t>
  </si>
  <si>
    <t>Attachment 12</t>
  </si>
  <si>
    <t>WORKSHEET B-3-A</t>
  </si>
  <si>
    <t>Page 5 of 5</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</si>
  <si>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</si>
  <si>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</si>
  <si>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</si>
  <si>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</si>
  <si>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</si>
  <si>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</si>
  <si>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</si>
  <si>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</si>
  <si>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</si>
  <si>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</si>
  <si>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</si>
  <si>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</si>
  <si>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</si>
  <si>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</si>
  <si>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</si>
  <si>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</si>
  <si>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</si>
  <si>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</si>
  <si>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</si>
  <si>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</si>
  <si>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</si>
  <si>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Accrued Deferred State Tax</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</si>
  <si>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</si>
  <si>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</si>
  <si>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</si>
  <si>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</si>
  <si>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</si>
  <si>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</si>
  <si>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</si>
  <si>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</si>
  <si>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</si>
  <si>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</si>
  <si>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</si>
  <si>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</si>
  <si>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</si>
  <si>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</si>
  <si>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</si>
  <si>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</si>
  <si>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WVHB2026</t>
  </si>
  <si>
    <t>ADSIT - Other FAS 109 Excess</t>
  </si>
  <si>
    <t>1l</t>
  </si>
  <si>
    <t>Regulatory Liability - State Excess ADFIT</t>
  </si>
  <si>
    <t>2d</t>
  </si>
  <si>
    <t>AEP WEST VIRGINIA TRANSMISSION COMPANY</t>
  </si>
  <si>
    <t>WORKSHEET-B-3-B</t>
  </si>
  <si>
    <t xml:space="preserve">WV House Bill 2026 - Revision of the WV Tax Apportionment Methodolgy from three Factor to One Factor </t>
  </si>
  <si>
    <t>H = E +G</t>
  </si>
  <si>
    <t>2021 Pre-remeasurement Balance</t>
  </si>
  <si>
    <t>Adjustments (NOTE 3)</t>
  </si>
  <si>
    <t>ADIT Deferral After Remesasurement</t>
  </si>
  <si>
    <t>TOTAL COMPANY</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</si>
  <si>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</si>
  <si>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</si>
  <si>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</si>
  <si>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</si>
  <si>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</si>
  <si>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</si>
  <si>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</si>
  <si>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</si>
  <si>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t>
  </si>
  <si>
    <t>Ln 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</si>
  <si>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</si>
  <si>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</si>
  <si>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</si>
  <si>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 xml:space="preserve">Remeasurement calculation may not equal 0% of the December 31, 2021  deferral balance because of specific ADIT items that are not subject to remeasurement. </t>
  </si>
  <si>
    <t>Not Applicable</t>
  </si>
  <si>
    <t>NOTE 4</t>
  </si>
  <si>
    <t>Ties to each Operating Companies' Workpaper B-3, Column F, showing the intial remeasurement value determined as a result of the WV HB 2026</t>
  </si>
  <si>
    <t>1/1/2022 Beginning  Balances</t>
  </si>
  <si>
    <t>12/31/2022 Ending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</si>
</sst>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 numFmtId="198" formatCode="_(* #,##0.000_);_(* \(#,##0.000\);_(* &quot;-&quot;??_);_(@_)"/>
  </numFmts>
  <fonts count="154">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50">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1" fontId="146"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6"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6" fillId="0" borderId="0" applyFont="0" applyFill="0" applyBorder="0" applyAlignment="0" applyProtection="0"/>
    <xf numFmtId="44" fontId="11" fillId="0" borderId="0" applyFont="0" applyFill="0" applyBorder="0" applyAlignment="0" applyProtection="0"/>
    <xf numFmtId="44" fontId="146"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6"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7" fillId="0" borderId="0"/>
    <xf numFmtId="0" fontId="11" fillId="0" borderId="0"/>
    <xf numFmtId="0" fontId="11" fillId="0" borderId="0"/>
    <xf numFmtId="0" fontId="147" fillId="0" borderId="0"/>
    <xf numFmtId="0" fontId="146"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46" fillId="0" borderId="0"/>
    <xf numFmtId="0" fontId="11" fillId="0" borderId="0"/>
    <xf numFmtId="0" fontId="146" fillId="0" borderId="0"/>
    <xf numFmtId="0" fontId="146"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46"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46"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6" fillId="0" borderId="0"/>
    <xf numFmtId="0" fontId="127" fillId="0" borderId="0"/>
    <xf numFmtId="0" fontId="11" fillId="0" borderId="0"/>
    <xf numFmtId="0" fontId="146" fillId="0" borderId="0"/>
    <xf numFmtId="0" fontId="127" fillId="0" borderId="0"/>
    <xf numFmtId="0" fontId="11" fillId="0" borderId="0"/>
    <xf numFmtId="0" fontId="146" fillId="0" borderId="0"/>
    <xf numFmtId="0" fontId="127" fillId="0" borderId="0"/>
    <xf numFmtId="0" fontId="11" fillId="0" borderId="0"/>
    <xf numFmtId="0" fontId="146"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2" fontId="2" fillId="0" borderId="0" applyProtection="0"/>
    <xf numFmtId="43" fontId="2" fillId="0" borderId="0" applyFont="0" applyFill="0" applyBorder="0" applyAlignment="0" applyProtection="0"/>
    <xf numFmtId="9" fontId="2" fillId="0" borderId="0" applyFont="0" applyFill="0" applyBorder="0" applyAlignment="0" applyProtection="0"/>
  </cellStyleXfs>
  <cellXfs count="1611">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60" applyFont="1" applyFill="1" applyAlignment="1">
      <alignment horizontal="center"/>
    </xf>
    <xf numFmtId="0" fontId="14" fillId="0" borderId="0" xfId="260" applyFont="1" applyFill="1"/>
    <xf numFmtId="0" fontId="0" fillId="0" borderId="0" xfId="0" applyBorder="1"/>
    <xf numFmtId="0" fontId="3" fillId="0" borderId="0" xfId="0" applyFont="1"/>
    <xf numFmtId="0" fontId="0" fillId="0" borderId="0" xfId="0" applyFill="1"/>
    <xf numFmtId="0" fontId="11" fillId="0" borderId="0" xfId="260" applyFont="1" applyFill="1"/>
    <xf numFmtId="0" fontId="14" fillId="0" borderId="0" xfId="260" applyFont="1" applyFill="1" applyAlignment="1">
      <alignment horizontal="left"/>
    </xf>
    <xf numFmtId="3" fontId="11" fillId="0" borderId="0" xfId="0" applyNumberFormat="1" applyFont="1" applyFill="1"/>
    <xf numFmtId="0" fontId="4" fillId="0" borderId="0" xfId="260" applyFont="1" applyFill="1" applyAlignment="1">
      <alignment horizontal="right"/>
    </xf>
    <xf numFmtId="40" fontId="11" fillId="0" borderId="0" xfId="0" applyNumberFormat="1" applyFont="1" applyFill="1"/>
    <xf numFmtId="0" fontId="11" fillId="0" borderId="0" xfId="260" applyFont="1"/>
    <xf numFmtId="0" fontId="4" fillId="0" borderId="0" xfId="260" applyFont="1" applyFill="1"/>
    <xf numFmtId="0" fontId="8" fillId="0" borderId="0" xfId="260" applyFont="1" applyFill="1" applyBorder="1" applyAlignment="1">
      <alignment horizontal="left"/>
    </xf>
    <xf numFmtId="0" fontId="11" fillId="0" borderId="0" xfId="260" applyFont="1" applyAlignment="1">
      <alignment horizontal="left"/>
    </xf>
    <xf numFmtId="0" fontId="5" fillId="0" borderId="0" xfId="26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60" applyNumberFormat="1" applyFont="1" applyFill="1" applyBorder="1"/>
    <xf numFmtId="0" fontId="27" fillId="0" borderId="0" xfId="260" applyFont="1" applyFill="1" applyAlignment="1">
      <alignment horizontal="left"/>
    </xf>
    <xf numFmtId="0" fontId="25" fillId="0" borderId="0" xfId="260" applyFont="1" applyFill="1"/>
    <xf numFmtId="41" fontId="25" fillId="0" borderId="0" xfId="260" applyNumberFormat="1" applyFont="1" applyFill="1"/>
    <xf numFmtId="41" fontId="25" fillId="0" borderId="0" xfId="260" applyNumberFormat="1" applyFont="1" applyFill="1" applyBorder="1" applyAlignment="1">
      <alignment vertical="top"/>
    </xf>
    <xf numFmtId="181" fontId="25" fillId="0" borderId="0" xfId="260" applyNumberFormat="1" applyFont="1" applyFill="1"/>
    <xf numFmtId="41" fontId="25" fillId="0" borderId="0" xfId="260" applyNumberFormat="1" applyFont="1" applyFill="1" applyBorder="1"/>
    <xf numFmtId="0" fontId="25" fillId="0" borderId="0" xfId="260" applyFont="1" applyFill="1" applyAlignment="1">
      <alignment horizontal="left"/>
    </xf>
    <xf numFmtId="0" fontId="28" fillId="0" borderId="0" xfId="260" applyFont="1" applyFill="1" applyBorder="1"/>
    <xf numFmtId="0" fontId="25" fillId="0" borderId="0" xfId="260" applyFont="1" applyFill="1" applyAlignment="1">
      <alignment horizontal="center"/>
    </xf>
    <xf numFmtId="0" fontId="9" fillId="0" borderId="0" xfId="260" applyFont="1" applyFill="1" applyAlignment="1">
      <alignment horizontal="center"/>
    </xf>
    <xf numFmtId="173" fontId="25" fillId="0" borderId="0" xfId="260" applyNumberFormat="1" applyFont="1" applyFill="1"/>
    <xf numFmtId="173" fontId="25" fillId="0" borderId="0" xfId="260" applyNumberFormat="1" applyFont="1" applyFill="1" applyBorder="1" applyAlignment="1">
      <alignment vertical="top"/>
    </xf>
    <xf numFmtId="41" fontId="25" fillId="0" borderId="13" xfId="260" applyNumberFormat="1" applyFont="1" applyFill="1" applyBorder="1"/>
    <xf numFmtId="173" fontId="5" fillId="0" borderId="0" xfId="86" applyNumberFormat="1" applyFont="1" applyFill="1" applyAlignment="1">
      <alignment horizontal="center"/>
    </xf>
    <xf numFmtId="0" fontId="4" fillId="0" borderId="0" xfId="260" applyFont="1" applyFill="1" applyAlignment="1">
      <alignment horizontal="center"/>
    </xf>
    <xf numFmtId="0" fontId="29" fillId="0" borderId="0" xfId="260" applyFont="1" applyFill="1" applyBorder="1"/>
    <xf numFmtId="0" fontId="9" fillId="0" borderId="0" xfId="260" applyFont="1" applyAlignment="1">
      <alignment horizontal="center"/>
    </xf>
    <xf numFmtId="41" fontId="4" fillId="0" borderId="13" xfId="260" applyNumberFormat="1" applyFont="1" applyFill="1" applyBorder="1"/>
    <xf numFmtId="38" fontId="11" fillId="0" borderId="0" xfId="0" applyNumberFormat="1" applyFont="1" applyFill="1" applyBorder="1" applyAlignment="1"/>
    <xf numFmtId="40" fontId="25" fillId="0" borderId="0" xfId="260" applyNumberFormat="1" applyFont="1" applyFill="1"/>
    <xf numFmtId="3" fontId="11" fillId="0" borderId="0" xfId="0" applyNumberFormat="1" applyFont="1"/>
    <xf numFmtId="40" fontId="11" fillId="0" borderId="0" xfId="0" applyNumberFormat="1" applyFont="1"/>
    <xf numFmtId="43" fontId="4" fillId="0" borderId="0" xfId="260" applyNumberFormat="1" applyFont="1" applyFill="1"/>
    <xf numFmtId="3" fontId="4" fillId="0" borderId="0" xfId="0" applyNumberFormat="1" applyFont="1" applyFill="1" applyAlignment="1"/>
    <xf numFmtId="41" fontId="26" fillId="25" borderId="0" xfId="260" applyNumberFormat="1" applyFont="1" applyFill="1" applyBorder="1"/>
    <xf numFmtId="0" fontId="31" fillId="0" borderId="0" xfId="0" applyFont="1" applyFill="1"/>
    <xf numFmtId="0" fontId="18" fillId="0" borderId="0" xfId="260" applyFont="1" applyFill="1"/>
    <xf numFmtId="0" fontId="11" fillId="0" borderId="0" xfId="260" applyFont="1" applyAlignment="1">
      <alignment horizontal="center"/>
    </xf>
    <xf numFmtId="0" fontId="4" fillId="0" borderId="0" xfId="214" applyFont="1" applyBorder="1" applyAlignment="1">
      <alignment horizontal="center"/>
    </xf>
    <xf numFmtId="49" fontId="4" fillId="0" borderId="0" xfId="26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68" applyFont="1"/>
    <xf numFmtId="185" fontId="17" fillId="0" borderId="0" xfId="268" applyNumberFormat="1" applyFont="1" applyAlignment="1">
      <alignment horizontal="center"/>
    </xf>
    <xf numFmtId="0" fontId="11" fillId="0" borderId="0" xfId="268" applyFont="1"/>
    <xf numFmtId="0" fontId="17" fillId="0" borderId="0" xfId="268" applyFont="1"/>
    <xf numFmtId="0" fontId="17" fillId="0" borderId="0" xfId="268" applyNumberFormat="1" applyFont="1" applyAlignment="1">
      <alignment horizontal="center"/>
    </xf>
    <xf numFmtId="0" fontId="17" fillId="0" borderId="0" xfId="268" applyNumberFormat="1" applyFont="1"/>
    <xf numFmtId="0" fontId="17" fillId="0" borderId="0" xfId="268" applyNumberFormat="1" applyFont="1" applyBorder="1" applyAlignment="1">
      <alignment horizontal="center"/>
    </xf>
    <xf numFmtId="0" fontId="72" fillId="0" borderId="0" xfId="268" applyFont="1"/>
    <xf numFmtId="0" fontId="73" fillId="0" borderId="0" xfId="268" applyFont="1"/>
    <xf numFmtId="185" fontId="11" fillId="0" borderId="0" xfId="268" applyNumberFormat="1" applyFont="1"/>
    <xf numFmtId="0" fontId="74" fillId="0" borderId="0" xfId="265" applyFont="1" applyFill="1" applyAlignment="1">
      <alignment horizontal="center"/>
    </xf>
    <xf numFmtId="0" fontId="74" fillId="0" borderId="0" xfId="265" applyFont="1" applyFill="1" applyAlignment="1">
      <alignment horizontal="left" indent="2"/>
    </xf>
    <xf numFmtId="39" fontId="74" fillId="0" borderId="0" xfId="265" applyNumberFormat="1" applyFont="1" applyFill="1"/>
    <xf numFmtId="0" fontId="70" fillId="0" borderId="0" xfId="268" applyFont="1" applyFill="1"/>
    <xf numFmtId="0" fontId="11" fillId="0" borderId="0" xfId="268" applyNumberFormat="1" applyFont="1" applyAlignment="1">
      <alignment horizontal="center"/>
    </xf>
    <xf numFmtId="0" fontId="11" fillId="0" borderId="0" xfId="26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60" applyFont="1" applyFill="1" applyBorder="1" applyAlignment="1">
      <alignment horizontal="left"/>
    </xf>
    <xf numFmtId="0" fontId="3" fillId="0" borderId="0" xfId="0" applyFont="1" applyAlignment="1">
      <alignment horizontal="center"/>
    </xf>
    <xf numFmtId="0" fontId="3" fillId="0" borderId="0" xfId="214" applyFont="1" applyBorder="1" applyAlignment="1">
      <alignment horizontal="center"/>
    </xf>
    <xf numFmtId="0" fontId="11" fillId="0" borderId="0" xfId="268" applyNumberFormat="1" applyFont="1" applyFill="1"/>
    <xf numFmtId="173" fontId="70" fillId="0" borderId="0" xfId="26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60" applyFont="1"/>
    <xf numFmtId="0" fontId="1" fillId="0" borderId="0" xfId="260" applyAlignment="1">
      <alignment horizontal="left"/>
    </xf>
    <xf numFmtId="0" fontId="1" fillId="0" borderId="0" xfId="260"/>
    <xf numFmtId="0" fontId="14" fillId="0" borderId="0" xfId="260" applyFont="1" applyAlignment="1">
      <alignment horizontal="left"/>
    </xf>
    <xf numFmtId="0" fontId="13" fillId="0" borderId="0" xfId="260" applyFont="1" applyFill="1"/>
    <xf numFmtId="0" fontId="82" fillId="0" borderId="0" xfId="260" applyFont="1" applyFill="1"/>
    <xf numFmtId="9" fontId="9" fillId="0" borderId="0" xfId="260" quotePrefix="1" applyNumberFormat="1" applyFont="1" applyFill="1" applyAlignment="1">
      <alignment horizontal="center"/>
    </xf>
    <xf numFmtId="0" fontId="3" fillId="0" borderId="0" xfId="268" applyNumberFormat="1" applyFont="1" applyAlignment="1">
      <alignment horizontal="center"/>
    </xf>
    <xf numFmtId="0" fontId="3" fillId="0" borderId="0" xfId="268" applyNumberFormat="1" applyFont="1"/>
    <xf numFmtId="185" fontId="3" fillId="0" borderId="0" xfId="268" applyNumberFormat="1" applyFont="1" applyAlignment="1">
      <alignment horizontal="center"/>
    </xf>
    <xf numFmtId="0" fontId="3" fillId="0" borderId="11" xfId="268" applyNumberFormat="1" applyFont="1" applyBorder="1" applyAlignment="1">
      <alignment horizontal="center"/>
    </xf>
    <xf numFmtId="185" fontId="3" fillId="0" borderId="11" xfId="268" applyNumberFormat="1" applyFont="1" applyBorder="1" applyAlignment="1">
      <alignment horizontal="center"/>
    </xf>
    <xf numFmtId="174" fontId="0" fillId="0" borderId="0" xfId="121"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79" applyNumberFormat="1" applyFont="1"/>
    <xf numFmtId="173" fontId="88" fillId="0" borderId="0" xfId="268" applyNumberFormat="1" applyFont="1" applyFill="1" applyBorder="1"/>
    <xf numFmtId="0" fontId="22" fillId="0" borderId="0" xfId="260" applyFont="1" applyFill="1" applyAlignment="1">
      <alignment horizontal="center"/>
    </xf>
    <xf numFmtId="0" fontId="91" fillId="0" borderId="0" xfId="260" applyFont="1" applyFill="1" applyBorder="1"/>
    <xf numFmtId="0" fontId="31" fillId="0" borderId="0" xfId="0" applyFont="1"/>
    <xf numFmtId="173" fontId="0" fillId="0" borderId="14" xfId="0" applyNumberFormat="1" applyBorder="1"/>
    <xf numFmtId="9" fontId="0" fillId="0" borderId="0" xfId="279" applyFont="1"/>
    <xf numFmtId="0" fontId="93" fillId="0" borderId="0" xfId="0" applyFont="1" applyAlignment="1">
      <alignment horizontal="center" wrapText="1"/>
    </xf>
    <xf numFmtId="0" fontId="17" fillId="0" borderId="0" xfId="265" applyFont="1" applyFill="1" applyAlignment="1">
      <alignment horizontal="center"/>
    </xf>
    <xf numFmtId="190" fontId="97" fillId="0" borderId="0" xfId="214" applyNumberFormat="1" applyFont="1" applyFill="1" applyBorder="1" applyAlignment="1">
      <alignment horizontal="center"/>
    </xf>
    <xf numFmtId="38" fontId="0" fillId="0" borderId="0" xfId="0" applyNumberFormat="1" applyBorder="1"/>
    <xf numFmtId="0" fontId="1" fillId="0" borderId="0" xfId="0" applyFont="1"/>
    <xf numFmtId="0" fontId="5" fillId="0" borderId="0" xfId="260" applyFont="1" applyFill="1" applyBorder="1" applyAlignment="1">
      <alignment horizontal="center"/>
    </xf>
    <xf numFmtId="0" fontId="4" fillId="0" borderId="0" xfId="0" applyFont="1" applyBorder="1" applyAlignment="1">
      <alignment horizontal="center"/>
    </xf>
    <xf numFmtId="0" fontId="3" fillId="0" borderId="0" xfId="268" applyNumberFormat="1" applyFont="1" applyBorder="1" applyAlignment="1">
      <alignment horizontal="center"/>
    </xf>
    <xf numFmtId="0" fontId="11" fillId="0" borderId="0" xfId="268" applyFont="1" applyBorder="1"/>
    <xf numFmtId="0" fontId="3" fillId="0" borderId="11" xfId="268" applyNumberFormat="1" applyFont="1" applyBorder="1"/>
    <xf numFmtId="185" fontId="3" fillId="0" borderId="0" xfId="268" applyNumberFormat="1" applyFont="1" applyBorder="1" applyAlignment="1">
      <alignment horizontal="center"/>
    </xf>
    <xf numFmtId="0" fontId="11" fillId="0" borderId="0" xfId="268" applyFont="1" applyFill="1"/>
    <xf numFmtId="173" fontId="77" fillId="0" borderId="0" xfId="268" applyNumberFormat="1" applyFont="1" applyFill="1" applyBorder="1"/>
    <xf numFmtId="0" fontId="70" fillId="0" borderId="0" xfId="268" applyFont="1" applyAlignment="1">
      <alignment horizontal="center"/>
    </xf>
    <xf numFmtId="0" fontId="17" fillId="0" borderId="0" xfId="268" applyFont="1" applyFill="1"/>
    <xf numFmtId="3" fontId="77" fillId="0" borderId="0" xfId="268" applyNumberFormat="1" applyFont="1" applyFill="1" applyBorder="1"/>
    <xf numFmtId="173" fontId="77" fillId="0" borderId="0" xfId="268" applyNumberFormat="1" applyFont="1" applyFill="1"/>
    <xf numFmtId="173" fontId="70" fillId="0" borderId="0" xfId="268" applyNumberFormat="1" applyFont="1" applyFill="1" applyBorder="1"/>
    <xf numFmtId="0" fontId="70" fillId="0" borderId="0" xfId="268" applyFont="1" applyFill="1" applyBorder="1"/>
    <xf numFmtId="38" fontId="21" fillId="0" borderId="0" xfId="0" applyNumberFormat="1" applyFont="1" applyBorder="1"/>
    <xf numFmtId="176" fontId="2" fillId="0" borderId="15" xfId="270" applyNumberFormat="1" applyBorder="1" applyProtection="1"/>
    <xf numFmtId="176" fontId="2" fillId="0" borderId="0" xfId="270" applyNumberFormat="1" applyBorder="1" applyProtection="1"/>
    <xf numFmtId="49" fontId="4" fillId="0" borderId="0" xfId="86" applyNumberFormat="1" applyFont="1" applyAlignment="1">
      <alignment horizontal="center"/>
    </xf>
    <xf numFmtId="0" fontId="98" fillId="0" borderId="0" xfId="268" applyFont="1" applyFill="1" applyBorder="1"/>
    <xf numFmtId="0" fontId="118" fillId="0" borderId="0" xfId="268" applyFont="1"/>
    <xf numFmtId="0" fontId="31" fillId="0" borderId="0" xfId="260" applyFont="1" applyFill="1" applyBorder="1"/>
    <xf numFmtId="0" fontId="106" fillId="0" borderId="0" xfId="260" applyFont="1" applyFill="1" applyAlignment="1">
      <alignment horizontal="center"/>
    </xf>
    <xf numFmtId="0" fontId="11" fillId="0" borderId="0" xfId="260" applyFont="1" applyFill="1" applyBorder="1"/>
    <xf numFmtId="0" fontId="93" fillId="0" borderId="0" xfId="0" applyFont="1" applyAlignment="1">
      <alignment horizontal="center"/>
    </xf>
    <xf numFmtId="10" fontId="2" fillId="0" borderId="0" xfId="270" applyNumberFormat="1" applyFill="1" applyProtection="1"/>
    <xf numFmtId="41" fontId="18" fillId="30" borderId="6" xfId="267" applyNumberFormat="1" applyFont="1" applyFill="1" applyBorder="1" applyAlignment="1" applyProtection="1">
      <protection locked="0"/>
    </xf>
    <xf numFmtId="3" fontId="18" fillId="30" borderId="0" xfId="267" applyNumberFormat="1" applyFont="1" applyFill="1" applyAlignment="1" applyProtection="1">
      <protection locked="0"/>
    </xf>
    <xf numFmtId="41" fontId="4" fillId="30" borderId="0" xfId="26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6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67" applyNumberFormat="1" applyFont="1" applyFill="1" applyProtection="1">
      <protection locked="0"/>
    </xf>
    <xf numFmtId="41" fontId="18" fillId="30" borderId="0" xfId="267" applyNumberFormat="1" applyFont="1" applyFill="1" applyAlignment="1" applyProtection="1">
      <alignment vertical="center"/>
      <protection locked="0"/>
    </xf>
    <xf numFmtId="0" fontId="5" fillId="0" borderId="0" xfId="0" applyFont="1"/>
    <xf numFmtId="10" fontId="18" fillId="31" borderId="0" xfId="279" applyNumberFormat="1" applyFont="1" applyFill="1" applyAlignment="1" applyProtection="1">
      <protection locked="0"/>
    </xf>
    <xf numFmtId="173" fontId="77" fillId="32" borderId="0" xfId="268" applyNumberFormat="1" applyFont="1" applyFill="1"/>
    <xf numFmtId="193" fontId="2" fillId="0" borderId="0" xfId="270" applyNumberFormat="1" applyFill="1" applyProtection="1"/>
    <xf numFmtId="172" fontId="2" fillId="0" borderId="0" xfId="267" applyFont="1" applyAlignment="1" applyProtection="1"/>
    <xf numFmtId="172" fontId="4" fillId="0" borderId="0" xfId="267" applyFont="1" applyAlignment="1" applyProtection="1"/>
    <xf numFmtId="0" fontId="0" fillId="0" borderId="0" xfId="0" applyBorder="1" applyProtection="1"/>
    <xf numFmtId="0" fontId="5" fillId="0" borderId="0" xfId="267" applyNumberFormat="1" applyFont="1" applyBorder="1" applyAlignment="1" applyProtection="1">
      <alignment horizontal="left"/>
    </xf>
    <xf numFmtId="14" fontId="5" fillId="0" borderId="0" xfId="267" applyNumberFormat="1" applyFont="1" applyBorder="1" applyAlignment="1" applyProtection="1"/>
    <xf numFmtId="172" fontId="5" fillId="0" borderId="0" xfId="267" applyFont="1" applyFill="1" applyAlignment="1" applyProtection="1"/>
    <xf numFmtId="172" fontId="4" fillId="0" borderId="0" xfId="267" applyFont="1" applyFill="1" applyAlignment="1" applyProtection="1"/>
    <xf numFmtId="0" fontId="18" fillId="32" borderId="0" xfId="86" applyNumberFormat="1" applyFont="1" applyFill="1" applyAlignment="1" applyProtection="1"/>
    <xf numFmtId="0" fontId="4" fillId="0" borderId="0" xfId="26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7" applyNumberFormat="1" applyFont="1" applyProtection="1"/>
    <xf numFmtId="0" fontId="4" fillId="0" borderId="0" xfId="267" applyNumberFormat="1" applyFont="1" applyAlignment="1" applyProtection="1">
      <alignment horizontal="right"/>
    </xf>
    <xf numFmtId="0" fontId="18" fillId="0" borderId="0" xfId="86" applyNumberFormat="1" applyFont="1" applyFill="1" applyAlignment="1" applyProtection="1"/>
    <xf numFmtId="3" fontId="4" fillId="0" borderId="0" xfId="267" applyNumberFormat="1" applyFont="1" applyAlignment="1" applyProtection="1"/>
    <xf numFmtId="3" fontId="4" fillId="0" borderId="0" xfId="0" applyNumberFormat="1" applyFont="1" applyAlignment="1" applyProtection="1">
      <alignment horizontal="center"/>
    </xf>
    <xf numFmtId="0" fontId="2" fillId="0" borderId="0" xfId="267" applyNumberFormat="1" applyFont="1" applyAlignment="1" applyProtection="1">
      <alignment horizontal="center"/>
    </xf>
    <xf numFmtId="0" fontId="4" fillId="0" borderId="0" xfId="267" applyNumberFormat="1" applyFont="1" applyAlignment="1" applyProtection="1">
      <alignment horizontal="center"/>
    </xf>
    <xf numFmtId="49" fontId="4" fillId="0" borderId="0" xfId="26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7" applyNumberFormat="1" applyFont="1" applyProtection="1"/>
    <xf numFmtId="39" fontId="4" fillId="0" borderId="0" xfId="86" applyNumberFormat="1" applyFont="1" applyAlignment="1" applyProtection="1">
      <alignment horizontal="center"/>
    </xf>
    <xf numFmtId="0" fontId="2" fillId="0" borderId="6" xfId="267" applyNumberFormat="1" applyFont="1" applyBorder="1" applyAlignment="1" applyProtection="1">
      <alignment horizontal="center"/>
    </xf>
    <xf numFmtId="0" fontId="4" fillId="0" borderId="0" xfId="267" applyNumberFormat="1" applyFont="1" applyBorder="1" applyAlignment="1" applyProtection="1">
      <alignment horizontal="center"/>
    </xf>
    <xf numFmtId="0" fontId="4" fillId="0" borderId="6" xfId="267" applyNumberFormat="1" applyFont="1" applyBorder="1" applyAlignment="1" applyProtection="1">
      <alignment horizontal="center"/>
    </xf>
    <xf numFmtId="0" fontId="4" fillId="0" borderId="0" xfId="0" applyNumberFormat="1" applyFont="1" applyProtection="1"/>
    <xf numFmtId="0" fontId="4" fillId="0" borderId="0" xfId="267" applyNumberFormat="1" applyFont="1" applyFill="1" applyProtection="1"/>
    <xf numFmtId="3" fontId="4" fillId="0" borderId="0" xfId="267" applyNumberFormat="1" applyFont="1" applyProtection="1"/>
    <xf numFmtId="0" fontId="4" fillId="0" borderId="0" xfId="267" applyNumberFormat="1" applyFont="1" applyAlignment="1" applyProtection="1">
      <alignment horizontal="left"/>
    </xf>
    <xf numFmtId="170" fontId="4" fillId="0" borderId="0" xfId="267" applyNumberFormat="1" applyFont="1" applyProtection="1"/>
    <xf numFmtId="3" fontId="4" fillId="0" borderId="0" xfId="267" applyNumberFormat="1" applyFont="1" applyFill="1" applyAlignment="1" applyProtection="1">
      <alignment horizontal="left"/>
    </xf>
    <xf numFmtId="3" fontId="4" fillId="0" borderId="0" xfId="267" applyNumberFormat="1" applyFont="1" applyFill="1" applyAlignment="1" applyProtection="1"/>
    <xf numFmtId="0" fontId="4" fillId="0" borderId="6" xfId="267" applyNumberFormat="1" applyFont="1" applyBorder="1" applyAlignment="1" applyProtection="1">
      <alignment horizontal="centerContinuous"/>
    </xf>
    <xf numFmtId="0" fontId="4" fillId="0" borderId="0" xfId="0" applyNumberFormat="1" applyFont="1" applyAlignment="1" applyProtection="1"/>
    <xf numFmtId="41" fontId="4" fillId="0" borderId="0" xfId="267" applyNumberFormat="1" applyFont="1" applyFill="1" applyBorder="1" applyAlignment="1" applyProtection="1"/>
    <xf numFmtId="3" fontId="4" fillId="0" borderId="0" xfId="267" applyNumberFormat="1" applyFont="1" applyFill="1" applyAlignment="1" applyProtection="1">
      <alignment horizontal="center"/>
    </xf>
    <xf numFmtId="165" fontId="4" fillId="0" borderId="0" xfId="267" applyNumberFormat="1" applyFont="1" applyFill="1" applyAlignment="1" applyProtection="1">
      <alignment horizontal="right"/>
    </xf>
    <xf numFmtId="42" fontId="4" fillId="0" borderId="0" xfId="267" applyNumberFormat="1" applyFont="1" applyBorder="1" applyAlignment="1" applyProtection="1"/>
    <xf numFmtId="0" fontId="2" fillId="0" borderId="0" xfId="267" applyNumberFormat="1" applyFont="1" applyFill="1" applyAlignment="1" applyProtection="1">
      <alignment horizontal="center"/>
    </xf>
    <xf numFmtId="0" fontId="4" fillId="0" borderId="0" xfId="26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7" applyNumberFormat="1" applyFont="1" applyAlignment="1" applyProtection="1">
      <alignment horizontal="left"/>
    </xf>
    <xf numFmtId="3" fontId="4" fillId="0" borderId="0" xfId="267" applyNumberFormat="1" applyFont="1" applyAlignment="1" applyProtection="1">
      <alignment horizontal="center"/>
    </xf>
    <xf numFmtId="174" fontId="4" fillId="0" borderId="14" xfId="267" applyNumberFormat="1" applyFont="1" applyBorder="1" applyAlignment="1" applyProtection="1"/>
    <xf numFmtId="42" fontId="4" fillId="0" borderId="0" xfId="267" applyNumberFormat="1" applyFont="1" applyAlignment="1" applyProtection="1"/>
    <xf numFmtId="172" fontId="76" fillId="0" borderId="0" xfId="267" applyFont="1" applyAlignment="1" applyProtection="1">
      <alignment horizontal="center" wrapText="1"/>
    </xf>
    <xf numFmtId="0" fontId="4" fillId="0" borderId="0" xfId="0" applyNumberFormat="1" applyFont="1" applyFill="1" applyAlignment="1" applyProtection="1"/>
    <xf numFmtId="42" fontId="4" fillId="0" borderId="0" xfId="267" applyNumberFormat="1" applyFont="1" applyFill="1" applyAlignment="1" applyProtection="1"/>
    <xf numFmtId="41" fontId="4" fillId="0" borderId="0" xfId="267" applyNumberFormat="1" applyFont="1" applyFill="1" applyAlignment="1" applyProtection="1"/>
    <xf numFmtId="43" fontId="4" fillId="0" borderId="0" xfId="86" applyFont="1" applyProtection="1"/>
    <xf numFmtId="0" fontId="4" fillId="0" borderId="0" xfId="267" applyNumberFormat="1" applyFont="1" applyFill="1" applyAlignment="1" applyProtection="1"/>
    <xf numFmtId="171" fontId="4" fillId="0" borderId="0" xfId="267" applyNumberFormat="1" applyFont="1" applyProtection="1"/>
    <xf numFmtId="10" fontId="4" fillId="0" borderId="0" xfId="267" applyNumberFormat="1" applyFont="1" applyAlignment="1" applyProtection="1"/>
    <xf numFmtId="10" fontId="4" fillId="0" borderId="0" xfId="267" applyNumberFormat="1" applyFont="1" applyProtection="1"/>
    <xf numFmtId="0" fontId="31" fillId="0" borderId="0" xfId="0" applyFont="1" applyProtection="1"/>
    <xf numFmtId="10" fontId="4" fillId="0" borderId="0" xfId="279" applyNumberFormat="1" applyFont="1" applyFill="1" applyAlignment="1" applyProtection="1"/>
    <xf numFmtId="186" fontId="4" fillId="0" borderId="0" xfId="267" applyNumberFormat="1" applyFont="1" applyProtection="1"/>
    <xf numFmtId="0" fontId="4" fillId="0" borderId="0" xfId="0" applyNumberFormat="1" applyFont="1" applyFill="1" applyProtection="1"/>
    <xf numFmtId="41" fontId="4" fillId="0" borderId="0" xfId="267" applyNumberFormat="1" applyFont="1" applyAlignment="1" applyProtection="1">
      <alignment horizontal="center"/>
    </xf>
    <xf numFmtId="41" fontId="4" fillId="0" borderId="14" xfId="267" applyNumberFormat="1" applyFont="1" applyBorder="1" applyAlignment="1" applyProtection="1">
      <alignment horizontal="center"/>
    </xf>
    <xf numFmtId="41" fontId="4" fillId="0" borderId="0" xfId="267" applyNumberFormat="1" applyFont="1" applyAlignment="1" applyProtection="1">
      <alignment horizontal="right"/>
    </xf>
    <xf numFmtId="42" fontId="4" fillId="0" borderId="0" xfId="279" applyNumberFormat="1" applyFont="1" applyAlignment="1" applyProtection="1"/>
    <xf numFmtId="43" fontId="4" fillId="0" borderId="0" xfId="267" applyNumberFormat="1" applyFont="1" applyAlignment="1" applyProtection="1">
      <alignment horizontal="right"/>
    </xf>
    <xf numFmtId="43" fontId="4" fillId="0" borderId="0" xfId="86" applyFont="1" applyAlignment="1" applyProtection="1"/>
    <xf numFmtId="172" fontId="4" fillId="0" borderId="0" xfId="267" applyFont="1" applyAlignment="1" applyProtection="1">
      <alignment horizontal="right"/>
    </xf>
    <xf numFmtId="0" fontId="31" fillId="0" borderId="0" xfId="0" applyFont="1" applyAlignment="1" applyProtection="1">
      <alignment horizontal="center"/>
    </xf>
    <xf numFmtId="49" fontId="4" fillId="0" borderId="0" xfId="267" applyNumberFormat="1" applyFont="1" applyAlignment="1" applyProtection="1">
      <alignment horizontal="left"/>
    </xf>
    <xf numFmtId="0" fontId="2" fillId="0" borderId="0" xfId="267" applyNumberFormat="1" applyFont="1" applyAlignment="1" applyProtection="1">
      <alignment horizontal="center" vertical="center"/>
    </xf>
    <xf numFmtId="3" fontId="5" fillId="0" borderId="0" xfId="267" applyNumberFormat="1" applyFont="1" applyAlignment="1" applyProtection="1">
      <alignment horizontal="center"/>
    </xf>
    <xf numFmtId="172" fontId="5" fillId="0" borderId="0" xfId="267" applyFont="1" applyAlignment="1" applyProtection="1">
      <alignment horizontal="center"/>
    </xf>
    <xf numFmtId="49" fontId="5" fillId="0" borderId="0" xfId="267" applyNumberFormat="1" applyFont="1" applyAlignment="1" applyProtection="1">
      <alignment horizontal="center"/>
    </xf>
    <xf numFmtId="0" fontId="9" fillId="0" borderId="0" xfId="267" applyNumberFormat="1" applyFont="1" applyAlignment="1" applyProtection="1">
      <alignment horizontal="center"/>
    </xf>
    <xf numFmtId="172" fontId="9" fillId="0" borderId="0" xfId="267" applyFont="1" applyBorder="1" applyAlignment="1" applyProtection="1">
      <alignment horizontal="center"/>
    </xf>
    <xf numFmtId="3" fontId="5" fillId="0" borderId="0" xfId="267" applyNumberFormat="1" applyFont="1" applyAlignment="1" applyProtection="1"/>
    <xf numFmtId="0" fontId="2" fillId="0" borderId="0" xfId="267" applyNumberFormat="1" applyFont="1" applyBorder="1" applyAlignment="1" applyProtection="1">
      <alignment horizontal="center"/>
    </xf>
    <xf numFmtId="3" fontId="13" fillId="0" borderId="0" xfId="267" applyNumberFormat="1" applyFont="1" applyAlignment="1" applyProtection="1">
      <alignment horizontal="center"/>
    </xf>
    <xf numFmtId="3" fontId="4" fillId="0" borderId="0" xfId="267" applyNumberFormat="1" applyFont="1" applyFill="1" applyBorder="1" applyAlignment="1" applyProtection="1">
      <alignment horizontal="center"/>
    </xf>
    <xf numFmtId="0" fontId="27" fillId="0" borderId="0" xfId="267" applyNumberFormat="1" applyFont="1" applyBorder="1" applyAlignment="1" applyProtection="1"/>
    <xf numFmtId="0" fontId="4" fillId="0" borderId="0" xfId="267" applyNumberFormat="1" applyFont="1" applyAlignment="1" applyProtection="1">
      <alignment horizontal="center" vertical="center"/>
    </xf>
    <xf numFmtId="0" fontId="4" fillId="0" borderId="0" xfId="267" applyNumberFormat="1" applyFont="1" applyBorder="1" applyAlignment="1" applyProtection="1">
      <alignment vertical="center"/>
    </xf>
    <xf numFmtId="3" fontId="4" fillId="0" borderId="0" xfId="267" applyNumberFormat="1" applyFont="1" applyFill="1" applyAlignment="1" applyProtection="1">
      <alignment vertical="center" wrapText="1"/>
    </xf>
    <xf numFmtId="3" fontId="4" fillId="0" borderId="0" xfId="267" applyNumberFormat="1" applyFont="1" applyFill="1" applyAlignment="1" applyProtection="1">
      <alignment horizontal="center" vertical="center"/>
    </xf>
    <xf numFmtId="3" fontId="4" fillId="0" borderId="0" xfId="267" applyNumberFormat="1" applyFont="1" applyFill="1" applyAlignment="1" applyProtection="1">
      <alignment vertical="center"/>
    </xf>
    <xf numFmtId="41" fontId="4" fillId="0" borderId="0" xfId="267" applyNumberFormat="1" applyFont="1" applyFill="1" applyAlignment="1" applyProtection="1">
      <alignment vertical="center"/>
    </xf>
    <xf numFmtId="3" fontId="4" fillId="0" borderId="0" xfId="267" applyNumberFormat="1" applyFont="1" applyAlignment="1" applyProtection="1">
      <alignment vertical="center"/>
    </xf>
    <xf numFmtId="0" fontId="4" fillId="0" borderId="0" xfId="267" applyNumberFormat="1" applyFont="1" applyFill="1" applyBorder="1" applyAlignment="1" applyProtection="1"/>
    <xf numFmtId="0" fontId="4" fillId="0" borderId="0" xfId="267" applyNumberFormat="1" applyFont="1" applyBorder="1" applyAlignment="1" applyProtection="1"/>
    <xf numFmtId="41" fontId="4" fillId="0" borderId="6" xfId="267" applyNumberFormat="1" applyFont="1" applyFill="1" applyBorder="1" applyAlignment="1" applyProtection="1"/>
    <xf numFmtId="0" fontId="31" fillId="0" borderId="0" xfId="0" applyFont="1" applyAlignment="1" applyProtection="1"/>
    <xf numFmtId="172" fontId="5" fillId="0" borderId="0" xfId="267" applyFont="1" applyFill="1" applyAlignment="1" applyProtection="1">
      <alignment horizontal="right"/>
    </xf>
    <xf numFmtId="178" fontId="5" fillId="0" borderId="0" xfId="267" applyNumberFormat="1" applyFont="1" applyFill="1" applyAlignment="1" applyProtection="1">
      <alignment horizontal="right"/>
    </xf>
    <xf numFmtId="166" fontId="5" fillId="0" borderId="0" xfId="267" applyNumberFormat="1" applyFont="1" applyFill="1" applyAlignment="1" applyProtection="1">
      <alignment horizontal="right"/>
    </xf>
    <xf numFmtId="178" fontId="4" fillId="0" borderId="0" xfId="267" applyNumberFormat="1" applyFont="1" applyAlignment="1" applyProtection="1"/>
    <xf numFmtId="184" fontId="4" fillId="0" borderId="0" xfId="267" applyNumberFormat="1" applyFont="1" applyFill="1" applyAlignment="1" applyProtection="1"/>
    <xf numFmtId="183" fontId="4" fillId="0" borderId="0" xfId="267" applyNumberFormat="1" applyFont="1" applyFill="1" applyAlignment="1" applyProtection="1"/>
    <xf numFmtId="3" fontId="5" fillId="0" borderId="0" xfId="267" applyNumberFormat="1" applyFont="1" applyFill="1" applyAlignment="1" applyProtection="1">
      <alignment horizontal="right" vertical="center"/>
    </xf>
    <xf numFmtId="165" fontId="4" fillId="0" borderId="0" xfId="267" applyNumberFormat="1" applyFont="1" applyFill="1" applyAlignment="1" applyProtection="1"/>
    <xf numFmtId="0" fontId="4" fillId="0" borderId="0" xfId="26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67" applyNumberFormat="1" applyFont="1" applyFill="1" applyAlignment="1" applyProtection="1">
      <alignment horizontal="center"/>
    </xf>
    <xf numFmtId="0" fontId="2" fillId="32" borderId="0" xfId="267" applyNumberFormat="1" applyFont="1" applyFill="1" applyAlignment="1" applyProtection="1">
      <alignment horizontal="center"/>
    </xf>
    <xf numFmtId="41" fontId="4" fillId="0" borderId="0" xfId="267" applyNumberFormat="1" applyFont="1" applyAlignment="1" applyProtection="1"/>
    <xf numFmtId="165" fontId="4" fillId="0" borderId="0" xfId="267" applyNumberFormat="1" applyFont="1" applyAlignment="1" applyProtection="1"/>
    <xf numFmtId="3" fontId="5" fillId="0" borderId="0" xfId="267" applyNumberFormat="1" applyFont="1" applyFill="1" applyAlignment="1" applyProtection="1">
      <alignment horizontal="right"/>
    </xf>
    <xf numFmtId="182" fontId="4" fillId="0" borderId="0" xfId="86" applyNumberFormat="1" applyFont="1" applyFill="1" applyAlignment="1" applyProtection="1"/>
    <xf numFmtId="172" fontId="4" fillId="0" borderId="0" xfId="267" applyFont="1" applyBorder="1" applyAlignment="1" applyProtection="1"/>
    <xf numFmtId="164" fontId="4" fillId="0" borderId="0" xfId="267" applyNumberFormat="1" applyFont="1" applyFill="1" applyAlignment="1" applyProtection="1">
      <alignment horizontal="left"/>
    </xf>
    <xf numFmtId="0" fontId="31" fillId="0" borderId="0" xfId="0" applyFont="1" applyFill="1" applyProtection="1"/>
    <xf numFmtId="175" fontId="4" fillId="0" borderId="0" xfId="267" applyNumberFormat="1" applyFont="1" applyAlignment="1" applyProtection="1"/>
    <xf numFmtId="41" fontId="4" fillId="0" borderId="0" xfId="267" applyNumberFormat="1" applyFont="1" applyAlignment="1" applyProtection="1">
      <alignment horizontal="center" vertical="center"/>
    </xf>
    <xf numFmtId="41" fontId="4" fillId="0" borderId="6" xfId="267" applyNumberFormat="1" applyFont="1" applyBorder="1" applyAlignment="1" applyProtection="1"/>
    <xf numFmtId="41" fontId="4" fillId="0" borderId="16" xfId="267" applyNumberFormat="1" applyFont="1" applyBorder="1" applyAlignment="1" applyProtection="1"/>
    <xf numFmtId="164" fontId="4" fillId="0" borderId="0" xfId="267" applyNumberFormat="1" applyFont="1" applyAlignment="1" applyProtection="1">
      <alignment horizontal="center"/>
    </xf>
    <xf numFmtId="0" fontId="84" fillId="0" borderId="0" xfId="267" applyNumberFormat="1" applyFont="1" applyAlignment="1" applyProtection="1">
      <alignment horizontal="center"/>
    </xf>
    <xf numFmtId="3" fontId="4" fillId="0" borderId="0" xfId="267" applyNumberFormat="1" applyFont="1" applyAlignment="1" applyProtection="1">
      <alignment horizontal="right"/>
    </xf>
    <xf numFmtId="172" fontId="4" fillId="0" borderId="0" xfId="267" applyFont="1" applyAlignment="1" applyProtection="1">
      <alignment horizontal="center"/>
    </xf>
    <xf numFmtId="172" fontId="4" fillId="0" borderId="0" xfId="267" applyFont="1" applyFill="1" applyAlignment="1" applyProtection="1">
      <alignment horizontal="center"/>
    </xf>
    <xf numFmtId="0" fontId="0" fillId="0" borderId="0" xfId="0" applyAlignment="1" applyProtection="1">
      <alignment horizontal="center"/>
    </xf>
    <xf numFmtId="0" fontId="5" fillId="0" borderId="0" xfId="267" applyNumberFormat="1" applyFont="1" applyAlignment="1" applyProtection="1">
      <alignment horizontal="center"/>
    </xf>
    <xf numFmtId="172" fontId="5" fillId="0" borderId="0" xfId="267" applyFont="1" applyAlignment="1" applyProtection="1"/>
    <xf numFmtId="3" fontId="9" fillId="0" borderId="0" xfId="267" applyNumberFormat="1" applyFont="1" applyAlignment="1" applyProtection="1">
      <alignment horizontal="center"/>
    </xf>
    <xf numFmtId="3" fontId="5" fillId="0" borderId="0" xfId="267" applyNumberFormat="1" applyFont="1" applyFill="1" applyAlignment="1" applyProtection="1"/>
    <xf numFmtId="3" fontId="9" fillId="0" borderId="0" xfId="267" applyNumberFormat="1" applyFont="1" applyFill="1" applyAlignment="1" applyProtection="1"/>
    <xf numFmtId="3" fontId="9" fillId="0" borderId="0" xfId="267" applyNumberFormat="1" applyFont="1" applyAlignment="1" applyProtection="1"/>
    <xf numFmtId="41" fontId="148" fillId="32" borderId="0" xfId="26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67" applyNumberFormat="1" applyFont="1" applyFill="1" applyAlignment="1" applyProtection="1">
      <alignment horizontal="center"/>
    </xf>
    <xf numFmtId="3" fontId="92" fillId="0" borderId="0" xfId="267" applyNumberFormat="1" applyFont="1" applyFill="1" applyAlignment="1" applyProtection="1">
      <alignment horizontal="right"/>
    </xf>
    <xf numFmtId="41" fontId="4" fillId="0" borderId="0" xfId="267" applyNumberFormat="1" applyFont="1" applyBorder="1" applyAlignment="1" applyProtection="1"/>
    <xf numFmtId="3" fontId="4" fillId="0" borderId="0" xfId="267" applyNumberFormat="1" applyFont="1" applyAlignment="1" applyProtection="1">
      <alignment vertical="center" wrapText="1"/>
    </xf>
    <xf numFmtId="41" fontId="92" fillId="0" borderId="0" xfId="267" applyNumberFormat="1" applyFont="1" applyFill="1" applyAlignment="1" applyProtection="1">
      <alignment horizontal="right"/>
    </xf>
    <xf numFmtId="3" fontId="4" fillId="0" borderId="0" xfId="267" applyNumberFormat="1" applyFont="1" applyAlignment="1" applyProtection="1">
      <alignment horizontal="center" vertical="center"/>
    </xf>
    <xf numFmtId="41" fontId="4" fillId="0" borderId="0" xfId="267" applyNumberFormat="1" applyFont="1" applyAlignment="1" applyProtection="1">
      <alignment vertical="center"/>
    </xf>
    <xf numFmtId="3" fontId="4" fillId="0" borderId="0" xfId="267" applyNumberFormat="1" applyFont="1" applyAlignment="1" applyProtection="1">
      <alignment horizontal="left" wrapText="1"/>
    </xf>
    <xf numFmtId="0" fontId="11" fillId="0" borderId="0" xfId="0" applyFont="1" applyAlignment="1" applyProtection="1">
      <alignment horizontal="left" wrapText="1"/>
    </xf>
    <xf numFmtId="3" fontId="4" fillId="0" borderId="0" xfId="267" applyNumberFormat="1" applyFont="1" applyFill="1" applyAlignment="1" applyProtection="1">
      <alignment horizontal="right"/>
    </xf>
    <xf numFmtId="43" fontId="4" fillId="0" borderId="0" xfId="279" applyNumberFormat="1" applyFont="1" applyFill="1" applyAlignment="1" applyProtection="1"/>
    <xf numFmtId="166" fontId="4" fillId="0" borderId="0" xfId="267" applyNumberFormat="1" applyFont="1" applyAlignment="1" applyProtection="1"/>
    <xf numFmtId="182" fontId="4" fillId="0" borderId="0" xfId="86" applyNumberFormat="1" applyFont="1" applyAlignment="1" applyProtection="1"/>
    <xf numFmtId="167" fontId="4" fillId="0" borderId="0" xfId="267" applyNumberFormat="1" applyFont="1" applyAlignment="1" applyProtection="1"/>
    <xf numFmtId="172" fontId="22" fillId="0" borderId="0" xfId="267" applyFont="1" applyAlignment="1" applyProtection="1"/>
    <xf numFmtId="164" fontId="4" fillId="0" borderId="0" xfId="267" applyNumberFormat="1" applyFont="1" applyBorder="1" applyAlignment="1" applyProtection="1">
      <alignment horizontal="left"/>
    </xf>
    <xf numFmtId="168" fontId="4" fillId="0" borderId="0" xfId="267" applyNumberFormat="1" applyFont="1" applyAlignment="1" applyProtection="1"/>
    <xf numFmtId="10" fontId="4" fillId="0" borderId="0" xfId="267" applyNumberFormat="1" applyFont="1" applyFill="1" applyAlignment="1" applyProtection="1">
      <alignment horizontal="right"/>
    </xf>
    <xf numFmtId="10" fontId="31" fillId="0" borderId="0" xfId="279" applyNumberFormat="1" applyFont="1" applyProtection="1"/>
    <xf numFmtId="3" fontId="22" fillId="0" borderId="0" xfId="267" applyNumberFormat="1" applyFont="1" applyAlignment="1" applyProtection="1"/>
    <xf numFmtId="167" fontId="4" fillId="0" borderId="0" xfId="267" applyNumberFormat="1" applyFont="1" applyFill="1" applyAlignment="1" applyProtection="1"/>
    <xf numFmtId="166" fontId="4" fillId="0" borderId="0" xfId="267" applyNumberFormat="1" applyFont="1" applyAlignment="1" applyProtection="1">
      <alignment horizontal="center"/>
    </xf>
    <xf numFmtId="188" fontId="22" fillId="0" borderId="0" xfId="267" applyNumberFormat="1" applyFont="1" applyAlignment="1" applyProtection="1">
      <alignment horizontal="center"/>
    </xf>
    <xf numFmtId="189" fontId="4" fillId="0" borderId="0" xfId="267" applyNumberFormat="1" applyFont="1" applyAlignment="1" applyProtection="1"/>
    <xf numFmtId="164" fontId="4" fillId="0" borderId="0" xfId="267" applyNumberFormat="1" applyFont="1" applyFill="1" applyBorder="1" applyAlignment="1" applyProtection="1">
      <alignment horizontal="left"/>
    </xf>
    <xf numFmtId="179" fontId="4" fillId="0" borderId="0" xfId="26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7" applyNumberFormat="1" applyFont="1" applyAlignment="1" applyProtection="1"/>
    <xf numFmtId="43" fontId="22" fillId="0" borderId="0" xfId="86" applyFont="1" applyAlignment="1" applyProtection="1"/>
    <xf numFmtId="10" fontId="4" fillId="0" borderId="0" xfId="267" applyNumberFormat="1" applyFont="1" applyFill="1" applyAlignment="1" applyProtection="1">
      <alignment horizontal="left"/>
    </xf>
    <xf numFmtId="168" fontId="4" fillId="0" borderId="0" xfId="267" applyNumberFormat="1" applyFont="1" applyFill="1" applyAlignment="1" applyProtection="1">
      <alignment horizontal="left"/>
    </xf>
    <xf numFmtId="0" fontId="11" fillId="0" borderId="0" xfId="0" applyFont="1" applyProtection="1"/>
    <xf numFmtId="41" fontId="4" fillId="0" borderId="0" xfId="267" applyNumberFormat="1" applyFont="1" applyFill="1" applyAlignment="1" applyProtection="1">
      <alignment horizontal="right"/>
    </xf>
    <xf numFmtId="179" fontId="4" fillId="0" borderId="0" xfId="267" applyNumberFormat="1" applyFont="1" applyAlignment="1" applyProtection="1"/>
    <xf numFmtId="173" fontId="4" fillId="0" borderId="0" xfId="267" applyNumberFormat="1" applyFont="1" applyAlignment="1" applyProtection="1"/>
    <xf numFmtId="164" fontId="4" fillId="0" borderId="0" xfId="267" applyNumberFormat="1" applyFont="1" applyFill="1" applyBorder="1" applyAlignment="1" applyProtection="1">
      <alignment horizontal="left" vertical="center"/>
    </xf>
    <xf numFmtId="41" fontId="4" fillId="0" borderId="0" xfId="267" applyNumberFormat="1" applyFont="1" applyFill="1" applyAlignment="1" applyProtection="1">
      <alignment horizontal="center" vertical="center"/>
    </xf>
    <xf numFmtId="180" fontId="4" fillId="0" borderId="0" xfId="267" applyNumberFormat="1" applyFont="1" applyAlignment="1" applyProtection="1"/>
    <xf numFmtId="173" fontId="4" fillId="0" borderId="14" xfId="86" applyNumberFormat="1" applyFont="1" applyBorder="1" applyAlignment="1" applyProtection="1"/>
    <xf numFmtId="0" fontId="4" fillId="0" borderId="0" xfId="267" applyNumberFormat="1" applyFont="1" applyFill="1" applyBorder="1" applyAlignment="1" applyProtection="1">
      <alignment horizontal="left"/>
    </xf>
    <xf numFmtId="0" fontId="5" fillId="0" borderId="0" xfId="267" applyNumberFormat="1" applyFont="1" applyAlignment="1" applyProtection="1"/>
    <xf numFmtId="0" fontId="4" fillId="0" borderId="0" xfId="0" applyFont="1" applyFill="1" applyAlignment="1" applyProtection="1">
      <alignment horizontal="left"/>
    </xf>
    <xf numFmtId="0" fontId="4" fillId="0" borderId="0" xfId="267" applyNumberFormat="1" applyFont="1" applyFill="1" applyBorder="1" applyProtection="1"/>
    <xf numFmtId="3" fontId="4" fillId="0" borderId="0" xfId="267" applyNumberFormat="1" applyFont="1" applyFill="1" applyBorder="1" applyAlignment="1" applyProtection="1"/>
    <xf numFmtId="172" fontId="4" fillId="0" borderId="0" xfId="267" applyFont="1" applyFill="1" applyBorder="1" applyAlignment="1" applyProtection="1"/>
    <xf numFmtId="172" fontId="4" fillId="0" borderId="0" xfId="267" applyFont="1" applyFill="1" applyBorder="1" applyAlignment="1" applyProtection="1">
      <alignment horizontal="center"/>
    </xf>
    <xf numFmtId="3" fontId="4" fillId="0" borderId="0" xfId="267" applyNumberFormat="1" applyFont="1" applyFill="1" applyBorder="1" applyAlignment="1" applyProtection="1">
      <alignment horizontal="left"/>
    </xf>
    <xf numFmtId="0" fontId="4" fillId="0" borderId="0" xfId="267" applyNumberFormat="1" applyFont="1" applyFill="1" applyBorder="1" applyAlignment="1" applyProtection="1">
      <alignment horizontal="center"/>
    </xf>
    <xf numFmtId="49" fontId="4" fillId="0" borderId="0" xfId="267" applyNumberFormat="1" applyFont="1" applyFill="1" applyBorder="1" applyProtection="1"/>
    <xf numFmtId="49" fontId="4" fillId="0" borderId="0" xfId="267" applyNumberFormat="1" applyFont="1" applyFill="1" applyBorder="1" applyAlignment="1" applyProtection="1"/>
    <xf numFmtId="49" fontId="4" fillId="0" borderId="0" xfId="267" applyNumberFormat="1" applyFont="1" applyFill="1" applyBorder="1" applyAlignment="1" applyProtection="1">
      <alignment horizontal="center"/>
    </xf>
    <xf numFmtId="3" fontId="5" fillId="0" borderId="0" xfId="267" applyNumberFormat="1" applyFont="1" applyFill="1" applyBorder="1" applyAlignment="1" applyProtection="1">
      <alignment horizontal="right"/>
    </xf>
    <xf numFmtId="165" fontId="5" fillId="0" borderId="0" xfId="267" applyNumberFormat="1" applyFont="1" applyFill="1" applyBorder="1" applyAlignment="1" applyProtection="1">
      <alignment horizontal="right"/>
    </xf>
    <xf numFmtId="0" fontId="5" fillId="0" borderId="0" xfId="267" applyNumberFormat="1" applyFont="1" applyFill="1" applyAlignment="1" applyProtection="1"/>
    <xf numFmtId="3" fontId="4" fillId="0" borderId="0" xfId="267" applyNumberFormat="1" applyFont="1" applyFill="1" applyProtection="1"/>
    <xf numFmtId="3" fontId="4" fillId="0" borderId="0" xfId="26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67" applyNumberFormat="1" applyFont="1" applyAlignment="1" applyProtection="1"/>
    <xf numFmtId="172" fontId="5" fillId="0" borderId="0" xfId="267" applyFont="1" applyAlignment="1" applyProtection="1">
      <alignment horizontal="right"/>
    </xf>
    <xf numFmtId="165" fontId="5" fillId="0" borderId="0" xfId="267" applyNumberFormat="1" applyFont="1" applyAlignment="1" applyProtection="1"/>
    <xf numFmtId="0" fontId="9" fillId="0" borderId="0" xfId="267" applyNumberFormat="1" applyFont="1" applyFill="1" applyBorder="1" applyAlignment="1" applyProtection="1"/>
    <xf numFmtId="3" fontId="4" fillId="0" borderId="6" xfId="267" applyNumberFormat="1" applyFont="1" applyFill="1" applyBorder="1" applyAlignment="1" applyProtection="1">
      <alignment horizontal="center"/>
    </xf>
    <xf numFmtId="41" fontId="5" fillId="0" borderId="0" xfId="267" applyNumberFormat="1" applyFont="1" applyFill="1" applyAlignment="1" applyProtection="1"/>
    <xf numFmtId="0" fontId="13" fillId="0" borderId="0" xfId="267" applyNumberFormat="1" applyFont="1" applyFill="1" applyBorder="1" applyAlignment="1" applyProtection="1">
      <alignment horizontal="left"/>
    </xf>
    <xf numFmtId="3" fontId="4" fillId="32" borderId="0" xfId="267" applyNumberFormat="1" applyFont="1" applyFill="1" applyAlignment="1" applyProtection="1"/>
    <xf numFmtId="0" fontId="11" fillId="0" borderId="0" xfId="0" applyFont="1" applyFill="1" applyProtection="1"/>
    <xf numFmtId="0" fontId="4" fillId="0" borderId="0" xfId="267" applyNumberFormat="1" applyFont="1" applyFill="1" applyAlignment="1" applyProtection="1">
      <alignment horizontal="left"/>
    </xf>
    <xf numFmtId="0" fontId="4" fillId="0" borderId="6" xfId="26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7" applyNumberFormat="1" applyFont="1" applyFill="1" applyAlignment="1" applyProtection="1"/>
    <xf numFmtId="169" fontId="4" fillId="0" borderId="17" xfId="267" applyNumberFormat="1" applyFont="1" applyFill="1" applyBorder="1" applyAlignment="1" applyProtection="1"/>
    <xf numFmtId="169" fontId="4" fillId="0" borderId="0" xfId="267" applyNumberFormat="1" applyFont="1" applyFill="1" applyBorder="1" applyAlignment="1" applyProtection="1"/>
    <xf numFmtId="10" fontId="4" fillId="0" borderId="6" xfId="267" applyNumberFormat="1" applyFont="1" applyFill="1" applyBorder="1" applyAlignment="1" applyProtection="1"/>
    <xf numFmtId="169" fontId="4" fillId="0" borderId="6" xfId="267" applyNumberFormat="1" applyFont="1" applyFill="1" applyBorder="1" applyAlignment="1" applyProtection="1"/>
    <xf numFmtId="182" fontId="11" fillId="0" borderId="0" xfId="86" applyNumberFormat="1" applyFont="1" applyFill="1" applyProtection="1"/>
    <xf numFmtId="169" fontId="5" fillId="0" borderId="0" xfId="267" applyNumberFormat="1" applyFont="1" applyFill="1" applyAlignment="1" applyProtection="1"/>
    <xf numFmtId="0" fontId="2" fillId="31" borderId="0" xfId="267" applyNumberFormat="1" applyFont="1" applyFill="1" applyAlignment="1" applyProtection="1">
      <alignment horizontal="center"/>
    </xf>
    <xf numFmtId="0" fontId="4" fillId="31" borderId="0" xfId="267" applyNumberFormat="1" applyFont="1" applyFill="1" applyAlignment="1" applyProtection="1">
      <alignment horizontal="center"/>
    </xf>
    <xf numFmtId="0" fontId="9" fillId="31" borderId="0" xfId="267" applyNumberFormat="1" applyFont="1" applyFill="1" applyBorder="1" applyAlignment="1" applyProtection="1"/>
    <xf numFmtId="0" fontId="4" fillId="31" borderId="0" xfId="267" applyNumberFormat="1" applyFont="1" applyFill="1" applyBorder="1" applyAlignment="1" applyProtection="1">
      <alignment horizontal="left"/>
    </xf>
    <xf numFmtId="3" fontId="4" fillId="31" borderId="0" xfId="267" applyNumberFormat="1" applyFont="1" applyFill="1" applyAlignment="1" applyProtection="1"/>
    <xf numFmtId="172" fontId="4" fillId="31" borderId="0" xfId="267" applyFont="1" applyFill="1" applyAlignment="1" applyProtection="1"/>
    <xf numFmtId="3" fontId="5" fillId="31" borderId="0" xfId="267" applyNumberFormat="1" applyFont="1" applyFill="1" applyAlignment="1" applyProtection="1"/>
    <xf numFmtId="166" fontId="5" fillId="31" borderId="0" xfId="267" applyNumberFormat="1" applyFont="1" applyFill="1" applyProtection="1"/>
    <xf numFmtId="0" fontId="4" fillId="31" borderId="0" xfId="267" applyNumberFormat="1" applyFont="1" applyFill="1" applyBorder="1" applyAlignment="1" applyProtection="1"/>
    <xf numFmtId="3" fontId="4" fillId="31" borderId="6" xfId="267" applyNumberFormat="1" applyFont="1" applyFill="1" applyBorder="1" applyAlignment="1" applyProtection="1">
      <alignment horizontal="center"/>
    </xf>
    <xf numFmtId="41" fontId="4" fillId="31" borderId="0" xfId="267" applyNumberFormat="1" applyFont="1" applyFill="1" applyAlignment="1" applyProtection="1"/>
    <xf numFmtId="0" fontId="13" fillId="31" borderId="0" xfId="267" applyNumberFormat="1" applyFont="1" applyFill="1" applyBorder="1" applyAlignment="1" applyProtection="1">
      <alignment horizontal="left"/>
    </xf>
    <xf numFmtId="0" fontId="0" fillId="31" borderId="0" xfId="0" applyFill="1" applyProtection="1"/>
    <xf numFmtId="0" fontId="4" fillId="31" borderId="0" xfId="267" applyNumberFormat="1" applyFont="1" applyFill="1" applyProtection="1"/>
    <xf numFmtId="0" fontId="31" fillId="31" borderId="0" xfId="0" applyFont="1" applyFill="1" applyProtection="1"/>
    <xf numFmtId="41" fontId="18" fillId="31" borderId="0" xfId="267" applyNumberFormat="1" applyFont="1" applyFill="1" applyAlignment="1" applyProtection="1"/>
    <xf numFmtId="10" fontId="4" fillId="31" borderId="0" xfId="279" applyNumberFormat="1" applyFont="1" applyFill="1" applyAlignment="1" applyProtection="1"/>
    <xf numFmtId="41" fontId="18" fillId="31" borderId="6" xfId="267" applyNumberFormat="1" applyFont="1" applyFill="1" applyBorder="1" applyAlignment="1" applyProtection="1"/>
    <xf numFmtId="0" fontId="4" fillId="31" borderId="0" xfId="267" applyNumberFormat="1" applyFont="1" applyFill="1" applyAlignment="1" applyProtection="1">
      <alignment horizontal="left"/>
    </xf>
    <xf numFmtId="3" fontId="22" fillId="31" borderId="0" xfId="267" applyNumberFormat="1" applyFont="1" applyFill="1" applyAlignment="1" applyProtection="1"/>
    <xf numFmtId="0" fontId="4" fillId="31" borderId="6" xfId="26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67" applyNumberFormat="1" applyFont="1" applyFill="1" applyAlignment="1" applyProtection="1"/>
    <xf numFmtId="169" fontId="22" fillId="31" borderId="0" xfId="267" applyNumberFormat="1" applyFont="1" applyFill="1" applyAlignment="1" applyProtection="1"/>
    <xf numFmtId="169" fontId="4" fillId="31" borderId="17" xfId="267" applyNumberFormat="1" applyFont="1" applyFill="1" applyBorder="1" applyAlignment="1" applyProtection="1"/>
    <xf numFmtId="3" fontId="4" fillId="0" borderId="0" xfId="267" quotePrefix="1" applyNumberFormat="1" applyFont="1" applyAlignment="1" applyProtection="1"/>
    <xf numFmtId="169" fontId="4" fillId="31" borderId="0" xfId="267" applyNumberFormat="1" applyFont="1" applyFill="1" applyBorder="1" applyAlignment="1" applyProtection="1"/>
    <xf numFmtId="10" fontId="4" fillId="31" borderId="0" xfId="267" applyNumberFormat="1" applyFont="1" applyFill="1" applyBorder="1" applyAlignment="1" applyProtection="1"/>
    <xf numFmtId="41" fontId="4" fillId="31" borderId="6" xfId="267" applyNumberFormat="1" applyFont="1" applyFill="1" applyBorder="1" applyAlignment="1" applyProtection="1"/>
    <xf numFmtId="169" fontId="4" fillId="31" borderId="6" xfId="267" applyNumberFormat="1" applyFont="1" applyFill="1" applyBorder="1" applyAlignment="1" applyProtection="1"/>
    <xf numFmtId="182" fontId="21" fillId="31" borderId="0" xfId="86" applyNumberFormat="1" applyFont="1" applyFill="1" applyProtection="1"/>
    <xf numFmtId="3" fontId="5" fillId="31" borderId="0" xfId="267" applyNumberFormat="1" applyFont="1" applyFill="1" applyAlignment="1" applyProtection="1">
      <alignment horizontal="right"/>
    </xf>
    <xf numFmtId="169" fontId="5" fillId="31" borderId="0" xfId="267" applyNumberFormat="1" applyFont="1" applyFill="1" applyAlignment="1" applyProtection="1"/>
    <xf numFmtId="3" fontId="5" fillId="0" borderId="0" xfId="26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67" applyNumberFormat="1" applyFont="1" applyAlignment="1" applyProtection="1"/>
    <xf numFmtId="172" fontId="4" fillId="0" borderId="0" xfId="267" applyFont="1" applyFill="1" applyAlignment="1" applyProtection="1">
      <alignment horizontal="right"/>
    </xf>
    <xf numFmtId="172" fontId="9" fillId="0" borderId="0" xfId="267" applyFont="1" applyAlignment="1" applyProtection="1">
      <alignment horizontal="center"/>
    </xf>
    <xf numFmtId="172" fontId="2" fillId="0" borderId="0" xfId="267" applyFont="1" applyFill="1" applyAlignment="1" applyProtection="1">
      <alignment horizontal="center"/>
    </xf>
    <xf numFmtId="172" fontId="2" fillId="0" borderId="0" xfId="267" applyFont="1" applyFill="1" applyAlignment="1" applyProtection="1"/>
    <xf numFmtId="10" fontId="4" fillId="0" borderId="0" xfId="26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67" applyNumberFormat="1" applyFont="1" applyFill="1" applyAlignment="1" applyProtection="1"/>
    <xf numFmtId="0" fontId="106" fillId="0" borderId="0" xfId="267" applyNumberFormat="1" applyFont="1" applyFill="1" applyAlignment="1" applyProtection="1"/>
    <xf numFmtId="0" fontId="25" fillId="0" borderId="0" xfId="267" applyNumberFormat="1" applyFont="1" applyFill="1" applyProtection="1"/>
    <xf numFmtId="172" fontId="25" fillId="0" borderId="0" xfId="267" applyFont="1" applyFill="1" applyAlignment="1" applyProtection="1"/>
    <xf numFmtId="0" fontId="25" fillId="0" borderId="0" xfId="0" applyFont="1" applyAlignment="1" applyProtection="1">
      <alignment vertical="top" wrapText="1"/>
    </xf>
    <xf numFmtId="172" fontId="25" fillId="0" borderId="0" xfId="267" applyFont="1" applyFill="1" applyAlignment="1" applyProtection="1">
      <alignment wrapText="1"/>
    </xf>
    <xf numFmtId="172" fontId="106" fillId="0" borderId="0" xfId="267" applyFont="1" applyFill="1" applyAlignment="1" applyProtection="1"/>
    <xf numFmtId="172" fontId="22" fillId="0" borderId="0" xfId="267" applyFont="1" applyFill="1" applyAlignment="1" applyProtection="1"/>
    <xf numFmtId="0" fontId="2" fillId="0" borderId="0" xfId="267" applyNumberFormat="1" applyFont="1" applyFill="1" applyProtection="1"/>
    <xf numFmtId="172" fontId="2" fillId="0" borderId="0" xfId="267" applyFont="1" applyFill="1" applyAlignment="1" applyProtection="1">
      <alignment horizontal="center" wrapText="1"/>
    </xf>
    <xf numFmtId="172" fontId="76" fillId="0" borderId="0" xfId="267" applyFont="1" applyFill="1" applyAlignment="1" applyProtection="1">
      <alignment horizontal="center" wrapText="1"/>
    </xf>
    <xf numFmtId="0" fontId="4" fillId="32" borderId="0" xfId="267" applyNumberFormat="1" applyFont="1" applyFill="1" applyAlignment="1" applyProtection="1">
      <alignment vertical="top" wrapText="1"/>
    </xf>
    <xf numFmtId="0" fontId="11" fillId="32" borderId="0" xfId="0" applyFont="1" applyFill="1" applyProtection="1"/>
    <xf numFmtId="0" fontId="92" fillId="0" borderId="0" xfId="267" applyNumberFormat="1" applyFont="1" applyFill="1" applyAlignment="1" applyProtection="1">
      <alignment horizontal="center"/>
    </xf>
    <xf numFmtId="172" fontId="22" fillId="0" borderId="0" xfId="267" applyFont="1" applyAlignment="1" applyProtection="1">
      <alignment wrapText="1"/>
    </xf>
    <xf numFmtId="173" fontId="18" fillId="0" borderId="0" xfId="86" applyNumberFormat="1" applyFont="1" applyFill="1" applyAlignment="1" applyProtection="1">
      <alignment horizontal="right"/>
    </xf>
    <xf numFmtId="10" fontId="18" fillId="30" borderId="0" xfId="27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14" applyFont="1" applyBorder="1" applyProtection="1"/>
    <xf numFmtId="0" fontId="4" fillId="0" borderId="0" xfId="214" applyFont="1" applyBorder="1" applyAlignment="1" applyProtection="1">
      <alignment horizontal="center"/>
    </xf>
    <xf numFmtId="0" fontId="11" fillId="0" borderId="0" xfId="214" applyFont="1" applyBorder="1" applyAlignment="1" applyProtection="1">
      <alignment horizontal="center"/>
    </xf>
    <xf numFmtId="0" fontId="16" fillId="0" borderId="0" xfId="260" applyFont="1" applyAlignment="1" applyProtection="1">
      <alignment horizontal="center"/>
    </xf>
    <xf numFmtId="0" fontId="11" fillId="0" borderId="0" xfId="0" applyFont="1" applyBorder="1" applyProtection="1"/>
    <xf numFmtId="0" fontId="11" fillId="0" borderId="0" xfId="214" applyFont="1" applyFill="1" applyBorder="1" applyProtection="1"/>
    <xf numFmtId="0" fontId="11" fillId="0" borderId="0" xfId="214" applyFont="1" applyFill="1" applyBorder="1" applyAlignment="1" applyProtection="1">
      <alignment horizontal="center" wrapText="1"/>
    </xf>
    <xf numFmtId="0" fontId="8" fillId="0" borderId="0" xfId="214" applyFont="1" applyFill="1" applyBorder="1" applyAlignment="1" applyProtection="1">
      <alignment horizontal="left"/>
    </xf>
    <xf numFmtId="0" fontId="11" fillId="0" borderId="0" xfId="214" applyFont="1" applyFill="1" applyBorder="1" applyAlignment="1" applyProtection="1"/>
    <xf numFmtId="0" fontId="11" fillId="0" borderId="0" xfId="214" applyNumberFormat="1" applyFont="1" applyFill="1" applyBorder="1" applyAlignment="1" applyProtection="1">
      <alignment horizontal="center"/>
    </xf>
    <xf numFmtId="3" fontId="11" fillId="0" borderId="0" xfId="214" applyNumberFormat="1" applyFont="1" applyFill="1" applyBorder="1" applyAlignment="1" applyProtection="1"/>
    <xf numFmtId="0" fontId="8" fillId="0" borderId="0" xfId="214" applyNumberFormat="1" applyFont="1" applyFill="1" applyBorder="1" applyAlignment="1" applyProtection="1">
      <alignment horizontal="left"/>
    </xf>
    <xf numFmtId="173" fontId="0" fillId="0" borderId="0" xfId="86" applyNumberFormat="1" applyFont="1" applyFill="1" applyProtection="1"/>
    <xf numFmtId="173" fontId="11" fillId="0" borderId="0" xfId="90" applyNumberFormat="1" applyFont="1" applyFill="1" applyBorder="1" applyAlignment="1" applyProtection="1">
      <alignment horizontal="right"/>
    </xf>
    <xf numFmtId="0" fontId="11" fillId="0" borderId="0" xfId="214" applyNumberFormat="1" applyFont="1" applyFill="1" applyBorder="1" applyAlignment="1" applyProtection="1">
      <alignment horizontal="left"/>
    </xf>
    <xf numFmtId="0" fontId="11" fillId="0" borderId="0" xfId="214" applyFont="1" applyBorder="1" applyAlignment="1" applyProtection="1"/>
    <xf numFmtId="0" fontId="6" fillId="0" borderId="0" xfId="214" applyFont="1" applyFill="1" applyBorder="1" applyAlignment="1" applyProtection="1">
      <alignment horizontal="left"/>
    </xf>
    <xf numFmtId="0" fontId="1" fillId="0" borderId="0" xfId="0" applyFont="1" applyProtection="1"/>
    <xf numFmtId="173" fontId="7" fillId="30" borderId="0" xfId="90" applyNumberFormat="1" applyFont="1" applyFill="1" applyBorder="1" applyAlignment="1" applyProtection="1">
      <alignment horizontal="right"/>
      <protection locked="0"/>
    </xf>
    <xf numFmtId="49" fontId="4" fillId="0" borderId="0" xfId="260" applyNumberFormat="1" applyFont="1" applyAlignment="1" applyProtection="1">
      <alignment horizontal="center"/>
    </xf>
    <xf numFmtId="0" fontId="0" fillId="0" borderId="0" xfId="0" applyAlignment="1" applyProtection="1"/>
    <xf numFmtId="0" fontId="8" fillId="0" borderId="0" xfId="214" applyFont="1" applyBorder="1" applyAlignment="1" applyProtection="1">
      <alignment horizontal="center"/>
    </xf>
    <xf numFmtId="0" fontId="8" fillId="0" borderId="0" xfId="214" applyFont="1" applyFill="1" applyBorder="1" applyAlignment="1" applyProtection="1">
      <alignment horizontal="center"/>
    </xf>
    <xf numFmtId="0" fontId="8" fillId="0" borderId="0" xfId="214" applyFont="1" applyBorder="1" applyAlignment="1" applyProtection="1"/>
    <xf numFmtId="0" fontId="12" fillId="0" borderId="0" xfId="0" applyFont="1" applyBorder="1" applyProtection="1"/>
    <xf numFmtId="3" fontId="12" fillId="0" borderId="0" xfId="214" applyNumberFormat="1" applyFont="1" applyBorder="1" applyAlignment="1" applyProtection="1">
      <alignment horizontal="center"/>
    </xf>
    <xf numFmtId="0" fontId="8" fillId="0" borderId="0" xfId="214" applyNumberFormat="1" applyFont="1" applyFill="1" applyBorder="1" applyAlignment="1" applyProtection="1">
      <alignment horizontal="center"/>
    </xf>
    <xf numFmtId="0" fontId="16" fillId="0" borderId="0" xfId="214" applyFont="1" applyFill="1" applyBorder="1" applyAlignment="1" applyProtection="1">
      <alignment horizontal="center"/>
    </xf>
    <xf numFmtId="0" fontId="12" fillId="0" borderId="0" xfId="214" applyNumberFormat="1" applyFont="1" applyFill="1" applyBorder="1" applyAlignment="1" applyProtection="1">
      <alignment horizontal="left"/>
    </xf>
    <xf numFmtId="173" fontId="12" fillId="0" borderId="0" xfId="90" applyNumberFormat="1" applyFont="1" applyFill="1" applyBorder="1" applyAlignment="1" applyProtection="1">
      <alignment horizontal="right"/>
    </xf>
    <xf numFmtId="164" fontId="11" fillId="0" borderId="0" xfId="281" applyNumberFormat="1" applyFont="1" applyFill="1" applyBorder="1" applyAlignment="1" applyProtection="1"/>
    <xf numFmtId="173" fontId="11" fillId="0" borderId="0" xfId="90" applyNumberFormat="1" applyFont="1" applyFill="1" applyBorder="1" applyAlignment="1" applyProtection="1">
      <alignment horizontal="left"/>
    </xf>
    <xf numFmtId="0" fontId="7" fillId="0" borderId="0" xfId="214"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60" applyFont="1" applyProtection="1"/>
    <xf numFmtId="0" fontId="11" fillId="25" borderId="0" xfId="214" applyNumberFormat="1" applyFont="1" applyFill="1" applyBorder="1" applyAlignment="1" applyProtection="1">
      <alignment horizontal="center"/>
    </xf>
    <xf numFmtId="0" fontId="8" fillId="25" borderId="0" xfId="214" applyNumberFormat="1" applyFont="1" applyFill="1" applyBorder="1" applyAlignment="1" applyProtection="1">
      <alignment horizontal="left"/>
    </xf>
    <xf numFmtId="0" fontId="7" fillId="25" borderId="0" xfId="214" applyFont="1" applyFill="1" applyBorder="1" applyAlignment="1" applyProtection="1"/>
    <xf numFmtId="0" fontId="11" fillId="25" borderId="0" xfId="214" applyNumberFormat="1" applyFont="1" applyFill="1" applyBorder="1" applyAlignment="1" applyProtection="1">
      <alignment horizontal="left"/>
    </xf>
    <xf numFmtId="0" fontId="11" fillId="25" borderId="0" xfId="214" applyFont="1" applyFill="1" applyBorder="1" applyProtection="1"/>
    <xf numFmtId="173" fontId="11" fillId="25" borderId="0" xfId="90" applyNumberFormat="1" applyFont="1" applyFill="1" applyBorder="1" applyAlignment="1" applyProtection="1">
      <alignment horizontal="right"/>
    </xf>
    <xf numFmtId="0" fontId="0" fillId="25" borderId="0" xfId="0" applyFill="1" applyBorder="1" applyProtection="1"/>
    <xf numFmtId="164" fontId="11" fillId="25" borderId="0" xfId="281" applyNumberFormat="1" applyFont="1" applyFill="1" applyBorder="1" applyAlignment="1" applyProtection="1"/>
    <xf numFmtId="173" fontId="11" fillId="25" borderId="0" xfId="90" applyNumberFormat="1" applyFont="1" applyFill="1" applyBorder="1" applyAlignment="1" applyProtection="1">
      <alignment horizontal="left"/>
    </xf>
    <xf numFmtId="0" fontId="80" fillId="0" borderId="0" xfId="214" applyNumberFormat="1" applyFont="1" applyFill="1" applyBorder="1" applyAlignment="1" applyProtection="1">
      <alignment horizontal="left"/>
    </xf>
    <xf numFmtId="0" fontId="11" fillId="0" borderId="0" xfId="260" applyFont="1" applyFill="1" applyProtection="1"/>
    <xf numFmtId="9" fontId="8" fillId="0" borderId="0" xfId="260" quotePrefix="1" applyNumberFormat="1" applyFont="1" applyFill="1" applyAlignment="1" applyProtection="1">
      <alignment horizontal="center"/>
    </xf>
    <xf numFmtId="0" fontId="8" fillId="0" borderId="0" xfId="260" applyFont="1" applyFill="1" applyAlignment="1" applyProtection="1">
      <alignment horizontal="center"/>
    </xf>
    <xf numFmtId="0" fontId="68" fillId="0" borderId="0" xfId="260" applyFont="1" applyFill="1" applyAlignment="1" applyProtection="1">
      <alignment horizontal="center"/>
    </xf>
    <xf numFmtId="0" fontId="16" fillId="0" borderId="0" xfId="260" applyFont="1" applyFill="1" applyAlignment="1" applyProtection="1">
      <alignment horizontal="center"/>
    </xf>
    <xf numFmtId="0" fontId="85" fillId="0" borderId="0" xfId="260" applyFont="1" applyFill="1" applyAlignment="1" applyProtection="1">
      <alignment horizontal="center"/>
    </xf>
    <xf numFmtId="38" fontId="11" fillId="0" borderId="0" xfId="214" applyNumberFormat="1" applyFont="1" applyFill="1" applyBorder="1" applyAlignment="1" applyProtection="1">
      <alignment horizontal="right"/>
    </xf>
    <xf numFmtId="37" fontId="11" fillId="0" borderId="0" xfId="214" applyNumberFormat="1" applyFont="1" applyFill="1" applyBorder="1" applyAlignment="1" applyProtection="1">
      <alignment horizontal="right"/>
    </xf>
    <xf numFmtId="0" fontId="11" fillId="0" borderId="0" xfId="214"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14" applyNumberFormat="1" applyFont="1" applyFill="1" applyBorder="1" applyAlignment="1" applyProtection="1"/>
    <xf numFmtId="37" fontId="7" fillId="0" borderId="0" xfId="214" applyNumberFormat="1" applyFont="1" applyFill="1" applyBorder="1" applyAlignment="1" applyProtection="1"/>
    <xf numFmtId="0" fontId="8" fillId="0" borderId="0" xfId="214" applyFont="1" applyBorder="1" applyProtection="1"/>
    <xf numFmtId="173" fontId="7" fillId="0" borderId="14" xfId="86" applyNumberFormat="1" applyFont="1" applyFill="1" applyBorder="1" applyAlignment="1" applyProtection="1"/>
    <xf numFmtId="0" fontId="11" fillId="0" borderId="14" xfId="214" applyNumberFormat="1" applyFont="1" applyFill="1" applyBorder="1" applyAlignment="1" applyProtection="1">
      <alignment horizontal="left"/>
    </xf>
    <xf numFmtId="173" fontId="11" fillId="0" borderId="14" xfId="90" applyNumberFormat="1" applyFont="1" applyFill="1" applyBorder="1" applyAlignment="1" applyProtection="1">
      <alignment horizontal="right"/>
    </xf>
    <xf numFmtId="0" fontId="1" fillId="0" borderId="0" xfId="260" applyFill="1" applyAlignment="1" applyProtection="1">
      <alignment horizontal="left"/>
    </xf>
    <xf numFmtId="0" fontId="1" fillId="0" borderId="0" xfId="260" applyFill="1" applyProtection="1"/>
    <xf numFmtId="0" fontId="79" fillId="0" borderId="0" xfId="26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6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49" fillId="0" borderId="0" xfId="214" applyFont="1" applyBorder="1" applyProtection="1"/>
    <xf numFmtId="38" fontId="11" fillId="0" borderId="0" xfId="0" applyNumberFormat="1" applyFont="1" applyFill="1" applyBorder="1" applyProtection="1"/>
    <xf numFmtId="0" fontId="31" fillId="0" borderId="0" xfId="260" applyFont="1" applyFill="1" applyAlignment="1" applyProtection="1">
      <alignment horizontal="left"/>
    </xf>
    <xf numFmtId="0" fontId="31" fillId="0" borderId="0" xfId="260" applyFont="1" applyFill="1" applyProtection="1"/>
    <xf numFmtId="0" fontId="95" fillId="0" borderId="0" xfId="260" applyFont="1" applyFill="1" applyAlignment="1" applyProtection="1">
      <alignment horizontal="center"/>
    </xf>
    <xf numFmtId="0" fontId="96" fillId="0" borderId="0" xfId="26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6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72" applyFont="1" applyProtection="1"/>
    <xf numFmtId="0" fontId="2" fillId="0" borderId="0" xfId="272" applyFont="1" applyAlignment="1" applyProtection="1">
      <alignment horizontal="right"/>
    </xf>
    <xf numFmtId="0" fontId="9" fillId="0" borderId="0" xfId="272" applyFont="1" applyAlignment="1" applyProtection="1">
      <alignment horizontal="center"/>
    </xf>
    <xf numFmtId="0" fontId="25" fillId="0" borderId="0" xfId="0" applyFont="1" applyProtection="1"/>
    <xf numFmtId="0" fontId="4" fillId="0" borderId="0" xfId="272" applyFont="1" applyProtection="1"/>
    <xf numFmtId="0" fontId="81" fillId="0" borderId="0" xfId="272" applyFont="1" applyProtection="1"/>
    <xf numFmtId="0" fontId="25" fillId="0" borderId="0" xfId="0" applyFont="1" applyAlignment="1" applyProtection="1">
      <alignment horizontal="center"/>
    </xf>
    <xf numFmtId="0" fontId="9" fillId="0" borderId="0" xfId="272" applyFont="1" applyBorder="1" applyAlignment="1" applyProtection="1">
      <alignment horizontal="center"/>
    </xf>
    <xf numFmtId="0" fontId="2" fillId="0" borderId="0" xfId="0" applyFont="1" applyAlignment="1" applyProtection="1">
      <alignment horizontal="right"/>
    </xf>
    <xf numFmtId="0" fontId="5" fillId="0" borderId="0" xfId="272" applyFont="1" applyFill="1" applyProtection="1"/>
    <xf numFmtId="0" fontId="25" fillId="0" borderId="0" xfId="272" applyFont="1" applyAlignment="1" applyProtection="1">
      <alignment horizontal="center"/>
    </xf>
    <xf numFmtId="0" fontId="8" fillId="0" borderId="0" xfId="272" applyFont="1" applyFill="1" applyAlignment="1" applyProtection="1">
      <alignment horizontal="center"/>
    </xf>
    <xf numFmtId="0" fontId="8" fillId="0" borderId="0" xfId="272" applyFont="1" applyFill="1" applyProtection="1"/>
    <xf numFmtId="0" fontId="100" fillId="0" borderId="0" xfId="0" applyFont="1" applyProtection="1"/>
    <xf numFmtId="0" fontId="100" fillId="0" borderId="0" xfId="272" applyFont="1" applyProtection="1"/>
    <xf numFmtId="0" fontId="11" fillId="0" borderId="0" xfId="272" applyFont="1" applyProtection="1"/>
    <xf numFmtId="173" fontId="11" fillId="0" borderId="0" xfId="272" applyNumberFormat="1" applyFont="1" applyFill="1" applyProtection="1"/>
    <xf numFmtId="0" fontId="11" fillId="0" borderId="0" xfId="0" applyFont="1" applyAlignment="1" applyProtection="1">
      <alignment horizontal="center"/>
    </xf>
    <xf numFmtId="172" fontId="11" fillId="0" borderId="0" xfId="272" applyNumberFormat="1" applyFont="1" applyFill="1" applyAlignment="1" applyProtection="1">
      <alignment horizontal="center"/>
    </xf>
    <xf numFmtId="0" fontId="11" fillId="0" borderId="0" xfId="272" applyFont="1" applyFill="1" applyProtection="1"/>
    <xf numFmtId="0" fontId="8" fillId="0" borderId="0" xfId="272" applyFont="1" applyProtection="1"/>
    <xf numFmtId="43" fontId="11" fillId="0" borderId="0" xfId="118" applyFont="1" applyFill="1" applyProtection="1"/>
    <xf numFmtId="0" fontId="93" fillId="0" borderId="0" xfId="272" applyFont="1" applyProtection="1"/>
    <xf numFmtId="185" fontId="11" fillId="0" borderId="0" xfId="0" applyNumberFormat="1" applyFont="1" applyProtection="1"/>
    <xf numFmtId="173" fontId="11" fillId="0" borderId="0" xfId="272" applyNumberFormat="1" applyFont="1" applyProtection="1"/>
    <xf numFmtId="173" fontId="11" fillId="0" borderId="13" xfId="0" applyNumberFormat="1" applyFont="1" applyBorder="1" applyProtection="1"/>
    <xf numFmtId="173" fontId="11" fillId="0" borderId="0" xfId="272" applyNumberFormat="1" applyFont="1" applyBorder="1" applyProtection="1"/>
    <xf numFmtId="0" fontId="93" fillId="0" borderId="0" xfId="272" applyFont="1" applyFill="1" applyProtection="1"/>
    <xf numFmtId="173" fontId="11" fillId="0" borderId="13" xfId="272" applyNumberFormat="1" applyFont="1" applyBorder="1" applyProtection="1"/>
    <xf numFmtId="0" fontId="25" fillId="0" borderId="0" xfId="272" applyFont="1" applyProtection="1"/>
    <xf numFmtId="43" fontId="4" fillId="0" borderId="0" xfId="118" applyFont="1" applyFill="1" applyProtection="1"/>
    <xf numFmtId="173" fontId="4" fillId="0" borderId="0" xfId="272" applyNumberFormat="1" applyFont="1" applyProtection="1"/>
    <xf numFmtId="173" fontId="4" fillId="0" borderId="0" xfId="27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8" applyNumberFormat="1" applyFont="1" applyFill="1" applyProtection="1">
      <protection locked="0"/>
    </xf>
    <xf numFmtId="41" fontId="18" fillId="30" borderId="0" xfId="26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6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68" applyFont="1" applyProtection="1"/>
    <xf numFmtId="0" fontId="4" fillId="0" borderId="0" xfId="268" applyFont="1" applyProtection="1"/>
    <xf numFmtId="0" fontId="17" fillId="0" borderId="0" xfId="268" applyNumberFormat="1" applyFont="1" applyAlignment="1" applyProtection="1">
      <alignment horizontal="center"/>
    </xf>
    <xf numFmtId="0" fontId="17" fillId="0" borderId="0" xfId="268" applyNumberFormat="1" applyFont="1" applyProtection="1"/>
    <xf numFmtId="0" fontId="5" fillId="0" borderId="0" xfId="260" applyFont="1" applyFill="1" applyAlignment="1" applyProtection="1">
      <alignment horizontal="center"/>
    </xf>
    <xf numFmtId="0" fontId="11" fillId="0" borderId="0" xfId="268" applyNumberFormat="1" applyFont="1" applyProtection="1"/>
    <xf numFmtId="0" fontId="3" fillId="0" borderId="0" xfId="268" applyNumberFormat="1" applyFont="1" applyAlignment="1" applyProtection="1">
      <alignment horizontal="center"/>
    </xf>
    <xf numFmtId="0" fontId="3" fillId="0" borderId="0" xfId="268" applyNumberFormat="1" applyFont="1" applyProtection="1"/>
    <xf numFmtId="185" fontId="3" fillId="0" borderId="0" xfId="268" applyNumberFormat="1" applyFont="1" applyAlignment="1" applyProtection="1">
      <alignment horizontal="center"/>
    </xf>
    <xf numFmtId="0" fontId="73" fillId="0" borderId="0" xfId="268" applyFont="1" applyProtection="1"/>
    <xf numFmtId="0" fontId="8" fillId="0" borderId="0" xfId="268" applyFont="1" applyProtection="1"/>
    <xf numFmtId="0" fontId="3" fillId="0" borderId="11" xfId="268" applyNumberFormat="1" applyFont="1" applyBorder="1" applyAlignment="1" applyProtection="1">
      <alignment horizontal="center"/>
    </xf>
    <xf numFmtId="185" fontId="3" fillId="0" borderId="11" xfId="268" applyNumberFormat="1" applyFont="1" applyBorder="1" applyAlignment="1" applyProtection="1">
      <alignment horizontal="center"/>
    </xf>
    <xf numFmtId="0" fontId="73" fillId="0" borderId="11" xfId="268" applyFont="1" applyBorder="1" applyAlignment="1" applyProtection="1">
      <alignment horizontal="center"/>
    </xf>
    <xf numFmtId="0" fontId="8" fillId="0" borderId="0" xfId="268" applyFont="1" applyAlignment="1" applyProtection="1">
      <alignment horizontal="center"/>
    </xf>
    <xf numFmtId="0" fontId="17" fillId="0" borderId="0" xfId="268" applyNumberFormat="1" applyFont="1" applyBorder="1" applyAlignment="1" applyProtection="1">
      <alignment horizontal="center"/>
    </xf>
    <xf numFmtId="185" fontId="17" fillId="0" borderId="0" xfId="268" applyNumberFormat="1" applyFont="1" applyAlignment="1" applyProtection="1">
      <alignment horizontal="center"/>
    </xf>
    <xf numFmtId="0" fontId="70" fillId="0" borderId="0" xfId="268" applyFont="1" applyProtection="1"/>
    <xf numFmtId="185" fontId="71" fillId="0" borderId="0" xfId="268" applyNumberFormat="1" applyFont="1" applyProtection="1"/>
    <xf numFmtId="0" fontId="17" fillId="0" borderId="0" xfId="268" applyFont="1" applyProtection="1"/>
    <xf numFmtId="185" fontId="17" fillId="0" borderId="0" xfId="268" applyNumberFormat="1" applyFont="1" applyProtection="1"/>
    <xf numFmtId="0" fontId="72" fillId="0" borderId="0" xfId="268" applyFont="1" applyProtection="1"/>
    <xf numFmtId="173" fontId="70" fillId="0" borderId="0" xfId="268" applyNumberFormat="1" applyFont="1" applyBorder="1" applyProtection="1"/>
    <xf numFmtId="173" fontId="70" fillId="0" borderId="0" xfId="268" applyNumberFormat="1" applyFont="1" applyProtection="1"/>
    <xf numFmtId="173" fontId="70" fillId="0" borderId="0" xfId="268" applyNumberFormat="1" applyFont="1" applyFill="1" applyBorder="1" applyProtection="1"/>
    <xf numFmtId="0" fontId="70" fillId="0" borderId="0" xfId="268" applyFont="1" applyFill="1" applyBorder="1" applyProtection="1"/>
    <xf numFmtId="173" fontId="88" fillId="0" borderId="0" xfId="268" applyNumberFormat="1" applyFont="1" applyFill="1" applyBorder="1" applyProtection="1"/>
    <xf numFmtId="173" fontId="4" fillId="0" borderId="0" xfId="268" applyNumberFormat="1" applyFont="1" applyProtection="1"/>
    <xf numFmtId="173" fontId="75" fillId="0" borderId="0" xfId="268" applyNumberFormat="1" applyFont="1" applyProtection="1"/>
    <xf numFmtId="185" fontId="4" fillId="0" borderId="0" xfId="268" applyNumberFormat="1" applyFont="1" applyProtection="1"/>
    <xf numFmtId="173" fontId="75" fillId="0" borderId="0" xfId="86" applyNumberFormat="1" applyFont="1" applyProtection="1"/>
    <xf numFmtId="0" fontId="115" fillId="0" borderId="0" xfId="267" applyNumberFormat="1" applyFont="1" applyBorder="1" applyAlignment="1" applyProtection="1"/>
    <xf numFmtId="0" fontId="98" fillId="0" borderId="0" xfId="268" applyFont="1" applyFill="1" applyBorder="1" applyProtection="1"/>
    <xf numFmtId="0" fontId="98" fillId="0" borderId="0" xfId="268" applyFont="1" applyProtection="1"/>
    <xf numFmtId="173" fontId="116" fillId="0" borderId="0" xfId="268" applyNumberFormat="1" applyFont="1" applyProtection="1"/>
    <xf numFmtId="185" fontId="117" fillId="0" borderId="0" xfId="268" applyNumberFormat="1" applyFont="1" applyProtection="1"/>
    <xf numFmtId="173" fontId="116" fillId="0" borderId="0" xfId="86" applyNumberFormat="1" applyFont="1" applyProtection="1"/>
    <xf numFmtId="173" fontId="98" fillId="0" borderId="0" xfId="268" applyNumberFormat="1" applyFont="1" applyProtection="1"/>
    <xf numFmtId="0" fontId="70" fillId="0" borderId="0" xfId="268" applyFont="1" applyFill="1" applyProtection="1"/>
    <xf numFmtId="0" fontId="74" fillId="0" borderId="0" xfId="265" applyFont="1" applyFill="1" applyAlignment="1" applyProtection="1">
      <alignment horizontal="center"/>
    </xf>
    <xf numFmtId="0" fontId="74" fillId="0" borderId="0" xfId="265" applyFont="1" applyFill="1" applyAlignment="1" applyProtection="1">
      <alignment horizontal="left" indent="2"/>
    </xf>
    <xf numFmtId="39" fontId="74" fillId="0" borderId="0" xfId="265" applyNumberFormat="1" applyFont="1" applyFill="1" applyProtection="1"/>
    <xf numFmtId="173" fontId="70" fillId="0" borderId="0" xfId="26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65" applyFont="1" applyFill="1" applyAlignment="1" applyProtection="1">
      <alignment horizontal="center"/>
    </xf>
    <xf numFmtId="173" fontId="70" fillId="0" borderId="14" xfId="86" applyNumberFormat="1" applyFont="1" applyBorder="1" applyProtection="1"/>
    <xf numFmtId="0" fontId="73" fillId="0" borderId="0" xfId="268" applyFont="1" applyAlignment="1" applyProtection="1">
      <alignment horizontal="center" wrapText="1"/>
    </xf>
    <xf numFmtId="0" fontId="78" fillId="0" borderId="0" xfId="268" applyFont="1" applyAlignment="1" applyProtection="1">
      <alignment horizontal="center"/>
    </xf>
    <xf numFmtId="0" fontId="17" fillId="0" borderId="0" xfId="268" applyNumberFormat="1" applyFont="1" applyFill="1" applyAlignment="1" applyProtection="1">
      <alignment horizontal="center"/>
    </xf>
    <xf numFmtId="0" fontId="11" fillId="0" borderId="0" xfId="268" applyNumberFormat="1" applyFont="1" applyFill="1" applyProtection="1"/>
    <xf numFmtId="0" fontId="98" fillId="0" borderId="0" xfId="268" applyFont="1" applyFill="1" applyProtection="1"/>
    <xf numFmtId="41" fontId="98" fillId="0" borderId="0" xfId="268" applyNumberFormat="1" applyFont="1" applyFill="1" applyProtection="1"/>
    <xf numFmtId="41" fontId="98" fillId="0" borderId="0" xfId="268" applyNumberFormat="1" applyFont="1" applyFill="1" applyBorder="1" applyProtection="1"/>
    <xf numFmtId="41" fontId="70" fillId="0" borderId="0" xfId="268" applyNumberFormat="1" applyFont="1" applyFill="1" applyProtection="1"/>
    <xf numFmtId="10" fontId="70" fillId="0" borderId="0" xfId="279" applyNumberFormat="1" applyFont="1" applyFill="1" applyProtection="1"/>
    <xf numFmtId="41" fontId="70" fillId="0" borderId="0" xfId="268" applyNumberFormat="1" applyFont="1" applyFill="1" applyBorder="1" applyProtection="1"/>
    <xf numFmtId="164" fontId="70" fillId="0" borderId="0" xfId="279" applyNumberFormat="1" applyFont="1" applyFill="1" applyProtection="1"/>
    <xf numFmtId="187" fontId="11" fillId="0" borderId="0" xfId="279" applyNumberFormat="1" applyFont="1" applyFill="1" applyProtection="1"/>
    <xf numFmtId="41" fontId="83" fillId="28" borderId="0" xfId="268" applyNumberFormat="1" applyFont="1" applyFill="1" applyProtection="1"/>
    <xf numFmtId="41" fontId="83" fillId="28" borderId="0" xfId="268" applyNumberFormat="1" applyFont="1" applyFill="1" applyBorder="1" applyProtection="1"/>
    <xf numFmtId="10" fontId="70" fillId="0" borderId="11" xfId="279" applyNumberFormat="1" applyFont="1" applyFill="1" applyBorder="1" applyProtection="1"/>
    <xf numFmtId="173" fontId="70" fillId="0" borderId="0" xfId="86" applyNumberFormat="1" applyFont="1" applyFill="1" applyProtection="1"/>
    <xf numFmtId="10" fontId="70" fillId="0" borderId="0" xfId="279" applyNumberFormat="1" applyFont="1" applyFill="1" applyBorder="1" applyProtection="1"/>
    <xf numFmtId="173" fontId="70" fillId="0" borderId="0" xfId="86" applyNumberFormat="1" applyFont="1" applyFill="1" applyBorder="1" applyProtection="1"/>
    <xf numFmtId="0" fontId="11" fillId="0" borderId="0" xfId="268" applyNumberFormat="1" applyFont="1" applyAlignment="1" applyProtection="1">
      <alignment horizontal="center"/>
    </xf>
    <xf numFmtId="185" fontId="11" fillId="0" borderId="0" xfId="268" applyNumberFormat="1" applyFont="1" applyProtection="1"/>
    <xf numFmtId="173" fontId="11" fillId="0" borderId="0" xfId="268" applyNumberFormat="1" applyFont="1" applyProtection="1"/>
    <xf numFmtId="173" fontId="70" fillId="0" borderId="18" xfId="86" applyNumberFormat="1" applyFont="1" applyFill="1" applyBorder="1" applyProtection="1"/>
    <xf numFmtId="0" fontId="73" fillId="30" borderId="0" xfId="268" applyFont="1" applyFill="1" applyProtection="1">
      <protection locked="0"/>
    </xf>
    <xf numFmtId="0" fontId="98" fillId="30" borderId="0" xfId="268" applyFont="1" applyFill="1" applyProtection="1">
      <protection locked="0"/>
    </xf>
    <xf numFmtId="0" fontId="70" fillId="30" borderId="0" xfId="268" applyFont="1" applyFill="1" applyProtection="1">
      <protection locked="0"/>
    </xf>
    <xf numFmtId="10" fontId="77" fillId="30" borderId="11" xfId="279" applyNumberFormat="1" applyFont="1" applyFill="1" applyBorder="1" applyProtection="1">
      <protection locked="0"/>
    </xf>
    <xf numFmtId="173" fontId="77" fillId="30" borderId="0" xfId="26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67" applyNumberFormat="1" applyFont="1" applyBorder="1" applyAlignment="1" applyProtection="1"/>
    <xf numFmtId="3" fontId="11" fillId="0" borderId="0" xfId="267" applyNumberFormat="1" applyFont="1" applyAlignment="1" applyProtection="1"/>
    <xf numFmtId="10" fontId="1" fillId="0" borderId="0" xfId="279" applyNumberFormat="1" applyAlignment="1" applyProtection="1">
      <alignment horizontal="right"/>
    </xf>
    <xf numFmtId="172" fontId="11" fillId="0" borderId="0" xfId="267" applyFont="1" applyAlignment="1" applyProtection="1"/>
    <xf numFmtId="172" fontId="11" fillId="0" borderId="0" xfId="267" applyFont="1" applyBorder="1" applyAlignment="1" applyProtection="1"/>
    <xf numFmtId="3" fontId="11" fillId="0" borderId="0" xfId="267" applyNumberFormat="1" applyFont="1" applyFill="1" applyAlignment="1" applyProtection="1"/>
    <xf numFmtId="10" fontId="11" fillId="0" borderId="0" xfId="279" applyNumberFormat="1" applyFont="1" applyFill="1" applyAlignment="1" applyProtection="1">
      <alignment horizontal="right"/>
    </xf>
    <xf numFmtId="3" fontId="8" fillId="0" borderId="0" xfId="267" applyNumberFormat="1" applyFont="1" applyAlignment="1" applyProtection="1"/>
    <xf numFmtId="10" fontId="11" fillId="0" borderId="0" xfId="267" applyNumberFormat="1" applyFont="1" applyFill="1" applyAlignment="1" applyProtection="1">
      <alignment horizontal="right"/>
    </xf>
    <xf numFmtId="3" fontId="12" fillId="0" borderId="0" xfId="267" applyNumberFormat="1" applyFont="1" applyAlignment="1" applyProtection="1">
      <alignment horizontal="center"/>
    </xf>
    <xf numFmtId="10" fontId="12" fillId="0" borderId="0" xfId="267" applyNumberFormat="1" applyFont="1" applyFill="1" applyAlignment="1" applyProtection="1">
      <alignment horizontal="center"/>
    </xf>
    <xf numFmtId="0" fontId="11" fillId="0" borderId="0" xfId="26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79" applyNumberFormat="1" applyFont="1" applyAlignment="1" applyProtection="1"/>
    <xf numFmtId="166" fontId="11" fillId="0" borderId="0" xfId="267" applyNumberFormat="1" applyFont="1" applyAlignment="1" applyProtection="1">
      <alignment horizontal="center"/>
    </xf>
    <xf numFmtId="166" fontId="11" fillId="0" borderId="0" xfId="267" applyNumberFormat="1" applyFont="1" applyBorder="1" applyAlignment="1" applyProtection="1">
      <alignment horizontal="center"/>
    </xf>
    <xf numFmtId="41" fontId="11" fillId="0" borderId="0" xfId="267" applyNumberFormat="1" applyFont="1" applyAlignment="1" applyProtection="1"/>
    <xf numFmtId="41" fontId="11" fillId="0" borderId="0" xfId="267" applyNumberFormat="1" applyFont="1" applyAlignment="1" applyProtection="1">
      <alignment horizontal="center"/>
    </xf>
    <xf numFmtId="41" fontId="11" fillId="0" borderId="0" xfId="267" applyNumberFormat="1" applyFont="1" applyBorder="1" applyAlignment="1" applyProtection="1">
      <alignment horizontal="center"/>
    </xf>
    <xf numFmtId="0" fontId="11" fillId="0" borderId="0" xfId="267" applyNumberFormat="1" applyFont="1" applyBorder="1" applyAlignment="1" applyProtection="1">
      <alignment horizontal="right"/>
    </xf>
    <xf numFmtId="164" fontId="12" fillId="0" borderId="0" xfId="279" applyNumberFormat="1" applyFont="1" applyAlignment="1" applyProtection="1"/>
    <xf numFmtId="3" fontId="11" fillId="0" borderId="0" xfId="267" applyNumberFormat="1" applyFont="1" applyAlignment="1" applyProtection="1">
      <alignment horizontal="right"/>
    </xf>
    <xf numFmtId="172" fontId="1" fillId="0" borderId="19" xfId="267" applyFont="1" applyBorder="1" applyAlignment="1" applyProtection="1"/>
    <xf numFmtId="0" fontId="1" fillId="0" borderId="0" xfId="267" applyNumberFormat="1" applyFont="1" applyBorder="1" applyAlignment="1" applyProtection="1">
      <alignment horizontal="center"/>
    </xf>
    <xf numFmtId="172" fontId="1" fillId="0" borderId="0" xfId="267" applyFont="1" applyBorder="1" applyAlignment="1" applyProtection="1"/>
    <xf numFmtId="3" fontId="1" fillId="0" borderId="20" xfId="267" applyNumberFormat="1" applyFont="1" applyBorder="1" applyAlignment="1" applyProtection="1"/>
    <xf numFmtId="10" fontId="11" fillId="0" borderId="0" xfId="267" applyNumberFormat="1" applyFont="1" applyFill="1" applyAlignment="1" applyProtection="1">
      <alignment horizontal="left"/>
    </xf>
    <xf numFmtId="41" fontId="11" fillId="0" borderId="0" xfId="26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67" applyNumberFormat="1" applyFont="1" applyFill="1" applyAlignment="1" applyProtection="1"/>
    <xf numFmtId="166" fontId="1" fillId="0" borderId="21" xfId="267" applyNumberFormat="1" applyFont="1" applyBorder="1" applyAlignment="1" applyProtection="1">
      <alignment horizontal="center"/>
    </xf>
    <xf numFmtId="0" fontId="1" fillId="0" borderId="6" xfId="267" applyNumberFormat="1" applyFont="1" applyBorder="1" applyAlignment="1" applyProtection="1">
      <alignment horizontal="center"/>
    </xf>
    <xf numFmtId="174" fontId="1" fillId="0" borderId="22" xfId="0" applyNumberFormat="1" applyFont="1" applyBorder="1" applyProtection="1"/>
    <xf numFmtId="41" fontId="1" fillId="0" borderId="0" xfId="267" applyNumberFormat="1" applyFont="1" applyBorder="1" applyAlignment="1" applyProtection="1"/>
    <xf numFmtId="173" fontId="1" fillId="0" borderId="0" xfId="267" applyNumberFormat="1" applyFont="1" applyBorder="1" applyAlignment="1" applyProtection="1">
      <alignment horizontal="center"/>
    </xf>
    <xf numFmtId="41" fontId="11" fillId="0" borderId="0" xfId="267" applyNumberFormat="1" applyFont="1" applyFill="1" applyAlignment="1" applyProtection="1">
      <alignment horizontal="left"/>
    </xf>
    <xf numFmtId="41" fontId="1" fillId="0" borderId="0" xfId="267" applyNumberFormat="1" applyFont="1" applyFill="1" applyBorder="1" applyAlignment="1" applyProtection="1">
      <alignment horizontal="right"/>
    </xf>
    <xf numFmtId="167" fontId="11" fillId="0" borderId="0" xfId="267" applyNumberFormat="1" applyFont="1" applyAlignment="1" applyProtection="1"/>
    <xf numFmtId="164" fontId="11" fillId="0" borderId="0" xfId="267" applyNumberFormat="1" applyFont="1" applyFill="1" applyBorder="1" applyAlignment="1" applyProtection="1">
      <alignment horizontal="left"/>
    </xf>
    <xf numFmtId="164" fontId="11" fillId="0" borderId="0" xfId="267" applyNumberFormat="1" applyFont="1" applyBorder="1" applyAlignment="1" applyProtection="1">
      <alignment horizontal="left"/>
    </xf>
    <xf numFmtId="3" fontId="11" fillId="0" borderId="0" xfId="267" applyNumberFormat="1" applyFont="1" applyAlignment="1" applyProtection="1">
      <alignment vertical="center" wrapText="1"/>
    </xf>
    <xf numFmtId="41" fontId="11" fillId="0" borderId="0" xfId="267" applyNumberFormat="1" applyFont="1" applyBorder="1" applyAlignment="1" applyProtection="1">
      <alignment vertical="center"/>
    </xf>
    <xf numFmtId="41" fontId="11" fillId="0" borderId="0" xfId="267" applyNumberFormat="1" applyFont="1" applyBorder="1" applyAlignment="1" applyProtection="1">
      <alignment horizontal="center" vertical="center"/>
    </xf>
    <xf numFmtId="41" fontId="11" fillId="0" borderId="0" xfId="26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7" applyNumberFormat="1" applyFont="1" applyFill="1" applyBorder="1" applyAlignment="1" applyProtection="1"/>
    <xf numFmtId="41" fontId="11" fillId="0" borderId="6" xfId="267" applyNumberFormat="1" applyFont="1" applyFill="1" applyBorder="1" applyAlignment="1" applyProtection="1"/>
    <xf numFmtId="0" fontId="11" fillId="0" borderId="0" xfId="267" applyNumberFormat="1" applyFont="1" applyFill="1" applyBorder="1" applyAlignment="1" applyProtection="1"/>
    <xf numFmtId="3" fontId="11" fillId="0" borderId="0" xfId="267" applyNumberFormat="1" applyFont="1" applyFill="1" applyBorder="1" applyAlignment="1" applyProtection="1"/>
    <xf numFmtId="0" fontId="11" fillId="32" borderId="0" xfId="267" applyNumberFormat="1" applyFont="1" applyFill="1" applyBorder="1" applyAlignment="1" applyProtection="1"/>
    <xf numFmtId="41" fontId="11" fillId="0" borderId="0" xfId="267" applyNumberFormat="1" applyFont="1" applyFill="1" applyBorder="1" applyAlignment="1" applyProtection="1">
      <alignment horizontal="center"/>
    </xf>
    <xf numFmtId="0" fontId="11" fillId="0" borderId="0" xfId="267" applyNumberFormat="1" applyFont="1" applyFill="1" applyBorder="1" applyProtection="1"/>
    <xf numFmtId="41" fontId="12" fillId="0" borderId="0" xfId="267" applyNumberFormat="1" applyFont="1" applyFill="1" applyBorder="1" applyAlignment="1" applyProtection="1"/>
    <xf numFmtId="3" fontId="11" fillId="0" borderId="0" xfId="267" applyNumberFormat="1" applyFont="1" applyFill="1" applyBorder="1" applyAlignment="1" applyProtection="1">
      <alignment horizontal="center"/>
    </xf>
    <xf numFmtId="0" fontId="11" fillId="0" borderId="0" xfId="267" applyNumberFormat="1" applyFont="1" applyFill="1" applyBorder="1" applyAlignment="1" applyProtection="1">
      <alignment horizontal="center"/>
    </xf>
    <xf numFmtId="10" fontId="11" fillId="0" borderId="0" xfId="267" applyNumberFormat="1" applyFont="1" applyFill="1" applyBorder="1" applyAlignment="1" applyProtection="1"/>
    <xf numFmtId="169" fontId="11" fillId="0" borderId="0" xfId="267" applyNumberFormat="1" applyFont="1" applyFill="1" applyBorder="1" applyAlignment="1" applyProtection="1"/>
    <xf numFmtId="172" fontId="11" fillId="0" borderId="0" xfId="267" applyFont="1" applyFill="1" applyBorder="1" applyAlignment="1" applyProtection="1"/>
    <xf numFmtId="169" fontId="8" fillId="0" borderId="0" xfId="26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6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0" fillId="30" borderId="22" xfId="0" applyFont="1" applyFill="1" applyBorder="1" applyAlignment="1" applyProtection="1">
      <alignment horizontal="right"/>
      <protection locked="0"/>
    </xf>
    <xf numFmtId="173" fontId="150" fillId="30" borderId="20" xfId="86" applyNumberFormat="1" applyFont="1" applyFill="1" applyBorder="1" applyAlignment="1" applyProtection="1">
      <alignment horizontal="right"/>
      <protection locked="0"/>
    </xf>
    <xf numFmtId="0" fontId="150"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79" applyNumberFormat="1" applyFont="1" applyAlignment="1" applyProtection="1">
      <alignment horizontal="right"/>
    </xf>
    <xf numFmtId="172" fontId="11" fillId="0" borderId="23" xfId="267" applyFont="1" applyBorder="1" applyAlignment="1" applyProtection="1"/>
    <xf numFmtId="172" fontId="11" fillId="0" borderId="17" xfId="267" applyFont="1" applyBorder="1" applyAlignment="1" applyProtection="1"/>
    <xf numFmtId="3" fontId="11" fillId="0" borderId="24" xfId="267" applyNumberFormat="1" applyFont="1" applyBorder="1" applyAlignment="1" applyProtection="1"/>
    <xf numFmtId="172" fontId="11" fillId="0" borderId="19" xfId="267" applyFont="1" applyBorder="1" applyAlignment="1" applyProtection="1"/>
    <xf numFmtId="3" fontId="11" fillId="0" borderId="20" xfId="267" applyNumberFormat="1" applyFont="1" applyBorder="1" applyAlignment="1" applyProtection="1"/>
    <xf numFmtId="0" fontId="11" fillId="0" borderId="0" xfId="26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67" applyNumberFormat="1" applyFont="1" applyBorder="1" applyAlignment="1" applyProtection="1">
      <alignment horizontal="center"/>
    </xf>
    <xf numFmtId="0" fontId="11" fillId="0" borderId="6" xfId="267" applyNumberFormat="1" applyFont="1" applyBorder="1" applyAlignment="1" applyProtection="1">
      <alignment horizontal="center"/>
    </xf>
    <xf numFmtId="173" fontId="11" fillId="0" borderId="6" xfId="267" quotePrefix="1" applyNumberFormat="1" applyFont="1" applyBorder="1" applyAlignment="1" applyProtection="1">
      <alignment horizontal="center"/>
    </xf>
    <xf numFmtId="41" fontId="11" fillId="0" borderId="0" xfId="267" applyNumberFormat="1" applyFont="1" applyFill="1" applyBorder="1" applyAlignment="1" applyProtection="1">
      <alignment horizontal="right"/>
    </xf>
    <xf numFmtId="41" fontId="11" fillId="0" borderId="11" xfId="267" applyNumberFormat="1" applyFont="1" applyFill="1" applyBorder="1" applyAlignment="1" applyProtection="1"/>
    <xf numFmtId="10" fontId="11" fillId="0" borderId="0" xfId="27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60" applyFont="1" applyFill="1" applyProtection="1"/>
    <xf numFmtId="0" fontId="8" fillId="0" borderId="0" xfId="260" applyFont="1" applyFill="1" applyProtection="1"/>
    <xf numFmtId="3" fontId="8" fillId="0" borderId="0" xfId="267" applyNumberFormat="1" applyFont="1" applyFill="1" applyAlignment="1" applyProtection="1"/>
    <xf numFmtId="0" fontId="1" fillId="0" borderId="0" xfId="260" applyFont="1" applyFill="1" applyProtection="1"/>
    <xf numFmtId="0" fontId="1" fillId="0" borderId="0" xfId="260" applyFont="1" applyFill="1" applyAlignment="1" applyProtection="1">
      <alignment horizontal="left"/>
    </xf>
    <xf numFmtId="0" fontId="11" fillId="0" borderId="0" xfId="260" applyFont="1" applyFill="1" applyAlignment="1" applyProtection="1">
      <alignment horizontal="left"/>
    </xf>
    <xf numFmtId="0" fontId="8" fillId="0" borderId="0" xfId="260" applyFont="1" applyFill="1" applyAlignment="1" applyProtection="1">
      <alignment horizontal="left"/>
    </xf>
    <xf numFmtId="173" fontId="7" fillId="30" borderId="0" xfId="86" applyNumberFormat="1" applyFont="1" applyFill="1" applyBorder="1" applyProtection="1">
      <protection locked="0"/>
    </xf>
    <xf numFmtId="10" fontId="7" fillId="30" borderId="0" xfId="279" applyNumberFormat="1" applyFont="1" applyFill="1" applyAlignment="1" applyProtection="1">
      <alignment horizontal="right" wrapText="1"/>
      <protection locked="0"/>
    </xf>
    <xf numFmtId="44" fontId="7" fillId="30" borderId="0" xfId="121"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70" applyFont="1" applyAlignment="1" applyProtection="1"/>
    <xf numFmtId="0" fontId="2" fillId="0" borderId="0" xfId="270" applyProtection="1"/>
    <xf numFmtId="0" fontId="102" fillId="0" borderId="0" xfId="270" applyFont="1" applyProtection="1"/>
    <xf numFmtId="0" fontId="103" fillId="0" borderId="0" xfId="270" applyFont="1" applyAlignment="1" applyProtection="1">
      <alignment horizontal="center"/>
    </xf>
    <xf numFmtId="0" fontId="112" fillId="0" borderId="0" xfId="270" applyFont="1" applyAlignment="1" applyProtection="1">
      <alignment horizontal="center"/>
    </xf>
    <xf numFmtId="0" fontId="2" fillId="0" borderId="0" xfId="270" applyFont="1" applyAlignment="1" applyProtection="1">
      <alignment horizontal="center"/>
    </xf>
    <xf numFmtId="0" fontId="104" fillId="0" borderId="15" xfId="270" applyFont="1" applyBorder="1" applyProtection="1"/>
    <xf numFmtId="0" fontId="102" fillId="0" borderId="15" xfId="270" applyFont="1" applyBorder="1" applyProtection="1"/>
    <xf numFmtId="0" fontId="104" fillId="0" borderId="0" xfId="270" applyFont="1" applyBorder="1" applyProtection="1"/>
    <xf numFmtId="0" fontId="102" fillId="0" borderId="0" xfId="270" applyFont="1" applyBorder="1" applyProtection="1"/>
    <xf numFmtId="0" fontId="2" fillId="0" borderId="0" xfId="270" applyFont="1" applyFill="1" applyBorder="1" applyAlignment="1" applyProtection="1">
      <alignment horizontal="left"/>
    </xf>
    <xf numFmtId="0" fontId="2" fillId="0" borderId="0" xfId="270" applyFill="1" applyProtection="1"/>
    <xf numFmtId="0" fontId="2" fillId="0" borderId="0" xfId="270" applyFont="1" applyFill="1" applyBorder="1" applyProtection="1"/>
    <xf numFmtId="192" fontId="2" fillId="0" borderId="0" xfId="270" applyNumberFormat="1" applyFill="1" applyProtection="1"/>
    <xf numFmtId="0" fontId="2" fillId="0" borderId="0" xfId="270" applyFont="1" applyFill="1" applyBorder="1" applyAlignment="1" applyProtection="1">
      <alignment wrapText="1"/>
    </xf>
    <xf numFmtId="0" fontId="0" fillId="0" borderId="0" xfId="0" applyFill="1" applyBorder="1" applyAlignment="1" applyProtection="1">
      <alignment wrapText="1"/>
    </xf>
    <xf numFmtId="0" fontId="105" fillId="0" borderId="32" xfId="270" applyFont="1" applyFill="1" applyBorder="1" applyProtection="1"/>
    <xf numFmtId="0" fontId="81" fillId="0" borderId="2" xfId="270" applyFont="1" applyFill="1" applyBorder="1" applyAlignment="1" applyProtection="1">
      <alignment horizontal="center"/>
    </xf>
    <xf numFmtId="0" fontId="81" fillId="0" borderId="33" xfId="270" applyFont="1" applyFill="1" applyBorder="1" applyAlignment="1" applyProtection="1">
      <alignment horizontal="center"/>
    </xf>
    <xf numFmtId="0" fontId="2" fillId="0" borderId="34" xfId="270" applyFont="1" applyFill="1" applyBorder="1" applyProtection="1"/>
    <xf numFmtId="3" fontId="2" fillId="0" borderId="0" xfId="270" applyNumberFormat="1" applyFont="1" applyFill="1" applyBorder="1" applyProtection="1"/>
    <xf numFmtId="3" fontId="2" fillId="0" borderId="35" xfId="270" applyNumberFormat="1" applyFill="1" applyBorder="1" applyProtection="1"/>
    <xf numFmtId="0" fontId="4" fillId="0" borderId="34" xfId="270" applyFont="1" applyFill="1" applyBorder="1" applyProtection="1"/>
    <xf numFmtId="0" fontId="2" fillId="0" borderId="36" xfId="270" applyFont="1" applyFill="1" applyBorder="1" applyProtection="1"/>
    <xf numFmtId="10" fontId="2" fillId="0" borderId="11" xfId="279" applyNumberFormat="1" applyFont="1" applyFill="1" applyBorder="1" applyAlignment="1" applyProtection="1">
      <alignment horizontal="center"/>
    </xf>
    <xf numFmtId="10" fontId="76" fillId="0" borderId="37" xfId="279" applyNumberFormat="1" applyFont="1" applyFill="1" applyBorder="1" applyAlignment="1" applyProtection="1">
      <alignment horizontal="center"/>
    </xf>
    <xf numFmtId="0" fontId="2" fillId="0" borderId="0" xfId="270" applyBorder="1" applyProtection="1"/>
    <xf numFmtId="0" fontId="2" fillId="0" borderId="0" xfId="270" applyFont="1" applyBorder="1" applyProtection="1"/>
    <xf numFmtId="0" fontId="11" fillId="0" borderId="0" xfId="274" applyFont="1" applyProtection="1"/>
    <xf numFmtId="0" fontId="8" fillId="0" borderId="0" xfId="27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60" applyFont="1" applyFill="1" applyAlignment="1" applyProtection="1">
      <alignment horizontal="left" vertical="top" wrapText="1"/>
    </xf>
    <xf numFmtId="0" fontId="109" fillId="0" borderId="0" xfId="274" applyProtection="1"/>
    <xf numFmtId="0" fontId="8" fillId="0" borderId="0" xfId="274" applyFont="1" applyFill="1" applyProtection="1"/>
    <xf numFmtId="173" fontId="11" fillId="0" borderId="0" xfId="274" applyNumberFormat="1" applyFont="1" applyProtection="1"/>
    <xf numFmtId="0" fontId="11" fillId="0" borderId="0" xfId="274" applyFont="1" applyAlignment="1" applyProtection="1">
      <alignment vertical="top" wrapText="1"/>
    </xf>
    <xf numFmtId="10" fontId="11" fillId="0" borderId="0" xfId="274" applyNumberFormat="1" applyFont="1" applyProtection="1"/>
    <xf numFmtId="44" fontId="11" fillId="0" borderId="0" xfId="274" applyNumberFormat="1" applyFont="1" applyProtection="1"/>
    <xf numFmtId="0" fontId="113" fillId="0" borderId="0" xfId="274" applyFont="1" applyFill="1" applyProtection="1"/>
    <xf numFmtId="173" fontId="11" fillId="0" borderId="11" xfId="274" applyNumberFormat="1" applyFont="1" applyBorder="1" applyProtection="1"/>
    <xf numFmtId="10" fontId="11" fillId="0" borderId="0" xfId="279" applyNumberFormat="1" applyFont="1" applyProtection="1"/>
    <xf numFmtId="0" fontId="11" fillId="0" borderId="0" xfId="274" applyFont="1" applyFill="1" applyProtection="1"/>
    <xf numFmtId="10" fontId="11" fillId="0" borderId="0" xfId="279" applyNumberFormat="1" applyFont="1" applyFill="1" applyProtection="1"/>
    <xf numFmtId="10" fontId="11" fillId="32" borderId="0" xfId="279" applyNumberFormat="1" applyFont="1" applyFill="1" applyProtection="1"/>
    <xf numFmtId="10" fontId="11" fillId="0" borderId="11" xfId="279" applyNumberFormat="1" applyFont="1" applyBorder="1" applyProtection="1"/>
    <xf numFmtId="0" fontId="8" fillId="0" borderId="0" xfId="274" applyFont="1" applyProtection="1"/>
    <xf numFmtId="10" fontId="8" fillId="0" borderId="0" xfId="279" applyNumberFormat="1" applyFont="1" applyProtection="1"/>
    <xf numFmtId="173" fontId="11" fillId="0" borderId="11" xfId="86" applyNumberFormat="1" applyFont="1" applyFill="1" applyBorder="1" applyProtection="1"/>
    <xf numFmtId="0" fontId="114" fillId="0" borderId="0" xfId="274" applyFont="1" applyFill="1" applyProtection="1"/>
    <xf numFmtId="0" fontId="11" fillId="0" borderId="0" xfId="260" applyFont="1" applyFill="1" applyBorder="1" applyAlignment="1" applyProtection="1">
      <alignment horizontal="left"/>
    </xf>
    <xf numFmtId="0" fontId="93" fillId="0" borderId="0" xfId="274" applyFont="1" applyFill="1" applyProtection="1"/>
    <xf numFmtId="173" fontId="11" fillId="0" borderId="0" xfId="274" applyNumberFormat="1" applyFont="1" applyFill="1" applyProtection="1"/>
    <xf numFmtId="0" fontId="11" fillId="0" borderId="0" xfId="274" applyFont="1" applyFill="1" applyAlignment="1" applyProtection="1">
      <alignment vertical="top" wrapText="1"/>
    </xf>
    <xf numFmtId="43" fontId="11" fillId="0" borderId="0" xfId="274" applyNumberFormat="1" applyFont="1" applyProtection="1"/>
    <xf numFmtId="10" fontId="11" fillId="0" borderId="11" xfId="279" applyNumberFormat="1" applyFont="1" applyFill="1" applyBorder="1" applyProtection="1"/>
    <xf numFmtId="10" fontId="93" fillId="0" borderId="0" xfId="279" applyNumberFormat="1" applyFont="1" applyFill="1" applyProtection="1"/>
    <xf numFmtId="10" fontId="11" fillId="30" borderId="0" xfId="279" applyNumberFormat="1" applyFont="1" applyFill="1" applyAlignment="1" applyProtection="1">
      <alignment horizontal="right" wrapText="1"/>
      <protection locked="0"/>
    </xf>
    <xf numFmtId="164" fontId="7" fillId="30" borderId="0" xfId="279" applyNumberFormat="1" applyFont="1" applyFill="1" applyAlignment="1" applyProtection="1">
      <alignment horizontal="right" wrapText="1"/>
      <protection locked="0"/>
    </xf>
    <xf numFmtId="44" fontId="11" fillId="30" borderId="0" xfId="121"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8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9" applyNumberFormat="1" applyFont="1" applyFill="1" applyProtection="1"/>
    <xf numFmtId="176" fontId="121" fillId="0" borderId="0" xfId="0" applyNumberFormat="1" applyFont="1" applyFill="1" applyProtection="1"/>
    <xf numFmtId="173" fontId="121" fillId="0" borderId="11" xfId="89" applyNumberFormat="1" applyFont="1" applyFill="1" applyBorder="1" applyProtection="1"/>
    <xf numFmtId="173" fontId="122" fillId="0" borderId="0" xfId="89" applyNumberFormat="1" applyFont="1" applyFill="1" applyProtection="1"/>
    <xf numFmtId="173" fontId="122" fillId="0" borderId="0" xfId="89"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9" applyNumberFormat="1" applyFont="1" applyFill="1" applyProtection="1"/>
    <xf numFmtId="173" fontId="4" fillId="0" borderId="0" xfId="122" applyNumberFormat="1" applyFont="1" applyFill="1" applyProtection="1"/>
    <xf numFmtId="176" fontId="121" fillId="30" borderId="0" xfId="280" applyNumberFormat="1" applyFont="1" applyFill="1" applyProtection="1">
      <protection locked="0"/>
    </xf>
    <xf numFmtId="0" fontId="11" fillId="32" borderId="0" xfId="0" applyFont="1" applyFill="1" applyProtection="1"/>
    <xf numFmtId="173" fontId="1" fillId="30" borderId="6" xfId="267" applyNumberFormat="1" applyFont="1" applyFill="1" applyBorder="1" applyAlignment="1" applyProtection="1">
      <alignment horizontal="center"/>
      <protection locked="0"/>
    </xf>
    <xf numFmtId="174" fontId="150"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67" applyNumberFormat="1" applyFont="1" applyFill="1" applyBorder="1" applyAlignment="1" applyProtection="1"/>
    <xf numFmtId="41" fontId="11" fillId="32" borderId="0" xfId="267" applyNumberFormat="1" applyFont="1" applyFill="1" applyBorder="1" applyAlignment="1" applyProtection="1"/>
    <xf numFmtId="41" fontId="11" fillId="32" borderId="0" xfId="26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60" applyFont="1" applyFill="1" applyAlignment="1" applyProtection="1">
      <alignment horizontal="left"/>
      <protection locked="0"/>
    </xf>
    <xf numFmtId="0" fontId="14" fillId="30" borderId="0" xfId="260" applyFont="1" applyFill="1" applyProtection="1">
      <protection locked="0"/>
    </xf>
    <xf numFmtId="0" fontId="9" fillId="30" borderId="0" xfId="260" applyFont="1" applyFill="1" applyAlignment="1" applyProtection="1">
      <alignment horizontal="center"/>
      <protection locked="0"/>
    </xf>
    <xf numFmtId="3" fontId="124" fillId="30" borderId="0" xfId="0" applyNumberFormat="1" applyFont="1" applyFill="1" applyProtection="1">
      <protection locked="0"/>
    </xf>
    <xf numFmtId="41" fontId="124" fillId="30" borderId="0" xfId="260" applyNumberFormat="1" applyFont="1" applyFill="1" applyProtection="1">
      <protection locked="0"/>
    </xf>
    <xf numFmtId="0" fontId="62" fillId="0" borderId="0" xfId="260" applyFont="1" applyAlignment="1">
      <alignment horizontal="center"/>
    </xf>
    <xf numFmtId="0" fontId="62" fillId="0" borderId="0" xfId="260" applyFont="1"/>
    <xf numFmtId="41" fontId="62" fillId="0" borderId="0" xfId="260" applyNumberFormat="1" applyFont="1"/>
    <xf numFmtId="41" fontId="124" fillId="30" borderId="11" xfId="260" applyNumberFormat="1" applyFont="1" applyFill="1" applyBorder="1" applyProtection="1">
      <protection locked="0"/>
    </xf>
    <xf numFmtId="0" fontId="62" fillId="0" borderId="0" xfId="26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60" applyNumberFormat="1" applyFont="1" applyFill="1"/>
    <xf numFmtId="38" fontId="62" fillId="0" borderId="0" xfId="0" applyNumberFormat="1" applyFont="1" applyFill="1" applyBorder="1" applyAlignment="1"/>
    <xf numFmtId="0" fontId="62" fillId="0" borderId="0" xfId="214" applyFont="1" applyFill="1" applyBorder="1" applyAlignment="1">
      <alignment horizontal="center"/>
    </xf>
    <xf numFmtId="0" fontId="62" fillId="0" borderId="0" xfId="214" applyFont="1" applyFill="1" applyBorder="1"/>
    <xf numFmtId="0" fontId="62" fillId="0" borderId="0" xfId="260" applyFont="1" applyAlignment="1">
      <alignment horizontal="left"/>
    </xf>
    <xf numFmtId="3" fontId="62" fillId="0" borderId="0" xfId="214" applyNumberFormat="1" applyFont="1" applyFill="1" applyBorder="1" applyAlignment="1"/>
    <xf numFmtId="38" fontId="62" fillId="0" borderId="0" xfId="0" applyNumberFormat="1" applyFont="1" applyFill="1" applyBorder="1" applyAlignment="1">
      <alignment horizontal="center"/>
    </xf>
    <xf numFmtId="0" fontId="126" fillId="0" borderId="0" xfId="260" applyFont="1" applyAlignment="1">
      <alignment horizontal="center"/>
    </xf>
    <xf numFmtId="0" fontId="39" fillId="0" borderId="0" xfId="260" applyFont="1" applyFill="1" applyAlignment="1">
      <alignment horizontal="center"/>
    </xf>
    <xf numFmtId="9" fontId="39" fillId="0" borderId="0" xfId="260" applyNumberFormat="1" applyFont="1" applyFill="1" applyAlignment="1">
      <alignment horizontal="center"/>
    </xf>
    <xf numFmtId="0" fontId="39" fillId="0" borderId="0" xfId="260" applyFont="1" applyFill="1" applyBorder="1"/>
    <xf numFmtId="0" fontId="39" fillId="0" borderId="0" xfId="260" applyFont="1" applyAlignment="1">
      <alignment horizontal="center" wrapText="1"/>
    </xf>
    <xf numFmtId="0" fontId="126" fillId="0" borderId="0" xfId="260" applyFont="1" applyAlignment="1">
      <alignment horizontal="right"/>
    </xf>
    <xf numFmtId="0" fontId="62" fillId="0" borderId="0" xfId="0" applyFont="1" applyAlignment="1">
      <alignment horizontal="center" wrapText="1"/>
    </xf>
    <xf numFmtId="0" fontId="39" fillId="0" borderId="11" xfId="260" applyFont="1" applyBorder="1" applyAlignment="1">
      <alignment horizontal="center"/>
    </xf>
    <xf numFmtId="173" fontId="151" fillId="30" borderId="0" xfId="86" applyNumberFormat="1" applyFont="1" applyFill="1"/>
    <xf numFmtId="173" fontId="11" fillId="0" borderId="30" xfId="100" applyNumberFormat="1" applyFont="1" applyFill="1" applyBorder="1" applyProtection="1"/>
    <xf numFmtId="173" fontId="11" fillId="0" borderId="20" xfId="100" applyNumberFormat="1" applyFont="1" applyFill="1" applyBorder="1" applyProtection="1"/>
    <xf numFmtId="0" fontId="11" fillId="0" borderId="0" xfId="0" applyFont="1" applyAlignment="1" applyProtection="1">
      <alignment vertical="top" wrapText="1"/>
    </xf>
    <xf numFmtId="0" fontId="8" fillId="0" borderId="0" xfId="273" applyFont="1" applyFill="1" applyAlignment="1" applyProtection="1">
      <alignment horizontal="center"/>
    </xf>
    <xf numFmtId="43" fontId="11" fillId="0" borderId="0" xfId="119" applyFont="1" applyFill="1" applyProtection="1"/>
    <xf numFmtId="173" fontId="7" fillId="30" borderId="0" xfId="119" applyNumberFormat="1" applyFont="1" applyFill="1" applyProtection="1">
      <protection locked="0"/>
    </xf>
    <xf numFmtId="173" fontId="11" fillId="0" borderId="0" xfId="273" applyNumberFormat="1" applyFont="1" applyFill="1" applyProtection="1"/>
    <xf numFmtId="0" fontId="129" fillId="0" borderId="0" xfId="0" applyFont="1" applyAlignment="1">
      <alignment vertical="center"/>
    </xf>
    <xf numFmtId="0" fontId="70" fillId="0" borderId="11" xfId="268" applyFont="1" applyBorder="1" applyAlignment="1">
      <alignment horizontal="center"/>
    </xf>
    <xf numFmtId="173" fontId="77" fillId="30" borderId="11" xfId="268" applyNumberFormat="1" applyFont="1" applyFill="1" applyBorder="1" applyProtection="1">
      <protection locked="0"/>
    </xf>
    <xf numFmtId="173" fontId="77" fillId="0" borderId="11" xfId="268" applyNumberFormat="1" applyFont="1" applyFill="1" applyBorder="1"/>
    <xf numFmtId="0" fontId="70" fillId="0" borderId="11" xfId="268" applyFont="1" applyBorder="1"/>
    <xf numFmtId="0" fontId="11" fillId="0" borderId="11" xfId="268" applyFont="1" applyBorder="1"/>
    <xf numFmtId="0" fontId="17" fillId="0" borderId="11" xfId="268" applyFont="1" applyFill="1" applyBorder="1"/>
    <xf numFmtId="173" fontId="88" fillId="0" borderId="11" xfId="268" applyNumberFormat="1" applyFont="1" applyFill="1" applyBorder="1"/>
    <xf numFmtId="173" fontId="70" fillId="0" borderId="0" xfId="268" applyNumberFormat="1" applyFont="1" applyFill="1" applyBorder="1" applyProtection="1">
      <protection locked="0"/>
    </xf>
    <xf numFmtId="9" fontId="77" fillId="30" borderId="0" xfId="279" applyFont="1" applyFill="1" applyBorder="1" applyProtection="1">
      <protection locked="0"/>
    </xf>
    <xf numFmtId="173" fontId="77" fillId="30" borderId="0" xfId="268" applyNumberFormat="1" applyFont="1" applyFill="1" applyBorder="1" applyAlignment="1" applyProtection="1">
      <alignment horizontal="center"/>
      <protection locked="0"/>
    </xf>
    <xf numFmtId="0" fontId="11" fillId="0" borderId="0" xfId="168"/>
    <xf numFmtId="0" fontId="11" fillId="0" borderId="0" xfId="168" applyAlignment="1">
      <alignment horizontal="center"/>
    </xf>
    <xf numFmtId="0" fontId="11" fillId="0" borderId="0" xfId="168" applyFont="1" applyFill="1" applyAlignment="1">
      <alignment horizontal="center"/>
    </xf>
    <xf numFmtId="0" fontId="11" fillId="0" borderId="0" xfId="168" applyFont="1" applyAlignment="1">
      <alignment horizontal="center"/>
    </xf>
    <xf numFmtId="0" fontId="11" fillId="0" borderId="0" xfId="168" applyFont="1" applyAlignment="1"/>
    <xf numFmtId="0" fontId="11" fillId="0" borderId="0" xfId="168" applyFill="1" applyAlignment="1"/>
    <xf numFmtId="0" fontId="11" fillId="0" borderId="0" xfId="168" applyProtection="1"/>
    <xf numFmtId="41" fontId="7" fillId="30" borderId="0" xfId="261" applyNumberFormat="1" applyFont="1" applyFill="1" applyProtection="1">
      <protection locked="0"/>
    </xf>
    <xf numFmtId="0" fontId="11" fillId="0" borderId="0" xfId="168" applyFont="1" applyFill="1" applyAlignment="1"/>
    <xf numFmtId="0" fontId="11" fillId="0" borderId="0" xfId="168" applyFill="1" applyAlignment="1">
      <alignment horizontal="center"/>
    </xf>
    <xf numFmtId="0" fontId="8" fillId="0" borderId="0" xfId="168" applyFont="1" applyFill="1" applyAlignment="1">
      <alignment horizontal="left"/>
    </xf>
    <xf numFmtId="3" fontId="11" fillId="0" borderId="0" xfId="168" applyNumberFormat="1" applyFont="1" applyFill="1" applyAlignment="1"/>
    <xf numFmtId="3" fontId="11" fillId="0" borderId="0" xfId="168" applyNumberFormat="1" applyFill="1" applyAlignment="1"/>
    <xf numFmtId="0" fontId="12" fillId="0" borderId="0" xfId="168" applyFont="1" applyFill="1" applyAlignment="1">
      <alignment horizontal="center"/>
    </xf>
    <xf numFmtId="3" fontId="11" fillId="0" borderId="0" xfId="168" applyNumberFormat="1" applyFont="1" applyFill="1" applyAlignment="1">
      <alignment horizontal="centerContinuous"/>
    </xf>
    <xf numFmtId="3" fontId="12" fillId="0" borderId="0" xfId="168" applyNumberFormat="1" applyFont="1" applyFill="1" applyAlignment="1">
      <alignment horizontal="centerContinuous"/>
    </xf>
    <xf numFmtId="3" fontId="11" fillId="0" borderId="0" xfId="168" applyNumberFormat="1" applyFill="1" applyAlignment="1">
      <alignment horizontal="centerContinuous"/>
    </xf>
    <xf numFmtId="3" fontId="11" fillId="0" borderId="38" xfId="168" applyNumberFormat="1" applyFont="1" applyFill="1" applyBorder="1" applyAlignment="1"/>
    <xf numFmtId="3" fontId="11" fillId="0" borderId="0" xfId="168" applyNumberFormat="1" applyFont="1" applyFill="1" applyAlignment="1">
      <alignment horizontal="left"/>
    </xf>
    <xf numFmtId="37" fontId="11" fillId="0" borderId="0" xfId="168" applyNumberFormat="1" applyFont="1" applyFill="1" applyAlignment="1"/>
    <xf numFmtId="37" fontId="11" fillId="0" borderId="0" xfId="168" applyNumberFormat="1" applyFont="1" applyFill="1" applyAlignment="1">
      <alignment horizontal="center"/>
    </xf>
    <xf numFmtId="37" fontId="11" fillId="0" borderId="38" xfId="168" applyNumberFormat="1" applyFont="1" applyFill="1" applyBorder="1" applyAlignment="1"/>
    <xf numFmtId="37" fontId="11" fillId="0" borderId="39" xfId="168" applyNumberFormat="1" applyFont="1" applyFill="1" applyBorder="1" applyAlignment="1"/>
    <xf numFmtId="37" fontId="11" fillId="0" borderId="0" xfId="168" applyNumberFormat="1" applyFill="1" applyAlignment="1"/>
    <xf numFmtId="37" fontId="11" fillId="0" borderId="40" xfId="168" applyNumberFormat="1" applyFont="1" applyFill="1" applyBorder="1" applyAlignment="1"/>
    <xf numFmtId="37" fontId="11" fillId="0" borderId="0" xfId="168" applyNumberFormat="1" applyFont="1" applyFill="1"/>
    <xf numFmtId="3" fontId="11" fillId="0" borderId="0" xfId="168" applyNumberFormat="1" applyFont="1" applyFill="1" applyAlignment="1" applyProtection="1">
      <alignment horizontal="center"/>
      <protection locked="0"/>
    </xf>
    <xf numFmtId="3" fontId="11" fillId="0" borderId="0" xfId="168" applyNumberFormat="1" applyFont="1" applyFill="1" applyAlignment="1">
      <alignment horizontal="center"/>
    </xf>
    <xf numFmtId="3" fontId="11" fillId="0" borderId="0" xfId="168" applyNumberFormat="1" applyFont="1" applyAlignment="1" applyProtection="1">
      <protection locked="0"/>
    </xf>
    <xf numFmtId="3" fontId="11" fillId="0" borderId="0" xfId="168" applyNumberFormat="1" applyFont="1" applyAlignment="1"/>
    <xf numFmtId="0" fontId="12" fillId="0" borderId="0" xfId="168" applyFont="1" applyAlignment="1">
      <alignment horizontal="center"/>
    </xf>
    <xf numFmtId="3" fontId="11" fillId="0" borderId="0" xfId="168" applyNumberFormat="1" applyFont="1" applyAlignment="1">
      <alignment horizontal="centerContinuous"/>
    </xf>
    <xf numFmtId="3" fontId="12" fillId="0" borderId="0" xfId="168" applyNumberFormat="1" applyFont="1" applyAlignment="1">
      <alignment horizontal="centerContinuous"/>
    </xf>
    <xf numFmtId="3" fontId="11" fillId="0" borderId="0" xfId="168" applyNumberFormat="1" applyAlignment="1">
      <alignment horizontal="centerContinuous"/>
    </xf>
    <xf numFmtId="3" fontId="11" fillId="0" borderId="38" xfId="168" applyNumberFormat="1" applyFont="1" applyBorder="1" applyAlignment="1"/>
    <xf numFmtId="0" fontId="11" fillId="0" borderId="0" xfId="168" applyFont="1" applyFill="1" applyAlignment="1">
      <alignment horizontal="left"/>
    </xf>
    <xf numFmtId="37" fontId="11" fillId="0" borderId="14" xfId="168" applyNumberFormat="1" applyFont="1" applyFill="1" applyBorder="1" applyAlignment="1"/>
    <xf numFmtId="37" fontId="11" fillId="0" borderId="0" xfId="168" applyNumberFormat="1"/>
    <xf numFmtId="37" fontId="152" fillId="0" borderId="39" xfId="168" applyNumberFormat="1" applyFont="1" applyFill="1" applyBorder="1" applyAlignment="1"/>
    <xf numFmtId="37" fontId="152" fillId="0" borderId="0" xfId="168" applyNumberFormat="1" applyFont="1" applyFill="1" applyAlignment="1"/>
    <xf numFmtId="4" fontId="11" fillId="0" borderId="0" xfId="168" applyNumberFormat="1" applyFont="1" applyFill="1" applyAlignment="1">
      <alignment horizontal="center"/>
    </xf>
    <xf numFmtId="195" fontId="7" fillId="30" borderId="0" xfId="261" applyNumberFormat="1" applyFont="1" applyFill="1" applyProtection="1">
      <protection locked="0"/>
    </xf>
    <xf numFmtId="3" fontId="11" fillId="33" borderId="0" xfId="168" applyNumberFormat="1" applyFont="1" applyFill="1" applyAlignment="1"/>
    <xf numFmtId="0" fontId="11" fillId="33" borderId="0" xfId="168" applyFill="1"/>
    <xf numFmtId="3" fontId="11" fillId="33" borderId="0" xfId="168" applyNumberFormat="1" applyFont="1" applyFill="1" applyAlignment="1" applyProtection="1">
      <alignment horizontal="center"/>
      <protection locked="0"/>
    </xf>
    <xf numFmtId="0" fontId="11" fillId="33" borderId="0" xfId="168" applyFont="1" applyFill="1" applyAlignment="1">
      <alignment horizontal="center"/>
    </xf>
    <xf numFmtId="0" fontId="12" fillId="33" borderId="0" xfId="168" applyFont="1" applyFill="1" applyAlignment="1">
      <alignment horizontal="center"/>
    </xf>
    <xf numFmtId="41" fontId="7" fillId="30" borderId="0" xfId="262" applyNumberFormat="1" applyFont="1" applyFill="1"/>
    <xf numFmtId="3" fontId="8" fillId="0" borderId="0" xfId="168" applyNumberFormat="1" applyFont="1" applyFill="1" applyAlignment="1">
      <alignment horizontal="left"/>
    </xf>
    <xf numFmtId="195" fontId="7" fillId="30" borderId="0" xfId="262" applyNumberFormat="1" applyFont="1" applyFill="1" applyProtection="1">
      <protection locked="0"/>
    </xf>
    <xf numFmtId="173" fontId="77" fillId="30" borderId="0" xfId="268" applyNumberFormat="1" applyFont="1" applyFill="1" applyBorder="1" applyProtection="1">
      <protection locked="0"/>
    </xf>
    <xf numFmtId="173" fontId="11" fillId="0" borderId="0" xfId="268" applyNumberFormat="1" applyFont="1"/>
    <xf numFmtId="173" fontId="77" fillId="30" borderId="0" xfId="268" applyNumberFormat="1" applyFont="1" applyFill="1" applyBorder="1" applyProtection="1">
      <protection locked="0"/>
    </xf>
    <xf numFmtId="0" fontId="17" fillId="0" borderId="11" xfId="268" applyNumberFormat="1" applyFont="1" applyBorder="1" applyAlignment="1">
      <alignment horizontal="center"/>
    </xf>
    <xf numFmtId="0" fontId="17" fillId="0" borderId="11" xfId="268" applyNumberFormat="1" applyFont="1" applyBorder="1"/>
    <xf numFmtId="0" fontId="17" fillId="0" borderId="11" xfId="268" applyFont="1" applyBorder="1"/>
    <xf numFmtId="173" fontId="70" fillId="0" borderId="11" xfId="26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71" applyFont="1" applyAlignment="1">
      <alignment horizontal="centerContinuous"/>
    </xf>
    <xf numFmtId="0" fontId="11" fillId="0" borderId="0" xfId="271" applyFont="1" applyFill="1" applyAlignment="1">
      <alignment horizontal="left"/>
    </xf>
    <xf numFmtId="0" fontId="8" fillId="0" borderId="0" xfId="271" applyFont="1" applyAlignment="1">
      <alignment horizontal="center"/>
    </xf>
    <xf numFmtId="0" fontId="8" fillId="0" borderId="0" xfId="271" applyFont="1" applyBorder="1" applyAlignment="1">
      <alignment wrapText="1"/>
    </xf>
    <xf numFmtId="0" fontId="11" fillId="0" borderId="32" xfId="0" applyNumberFormat="1" applyFont="1" applyBorder="1" applyAlignment="1">
      <alignment horizontal="center" wrapText="1"/>
    </xf>
    <xf numFmtId="0" fontId="8" fillId="0" borderId="33" xfId="271" applyFont="1" applyBorder="1" applyAlignment="1">
      <alignment horizontal="center" wrapText="1"/>
    </xf>
    <xf numFmtId="0" fontId="8" fillId="0" borderId="0" xfId="27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71" applyFont="1" applyBorder="1" applyAlignment="1">
      <alignment horizontal="center"/>
    </xf>
    <xf numFmtId="0" fontId="8" fillId="0" borderId="0" xfId="271" applyFont="1" applyBorder="1" applyAlignment="1">
      <alignment horizontal="center"/>
    </xf>
    <xf numFmtId="0" fontId="8" fillId="0" borderId="35" xfId="259" applyFont="1" applyFill="1" applyBorder="1" applyAlignment="1">
      <alignment horizontal="center" wrapText="1"/>
    </xf>
    <xf numFmtId="0" fontId="131" fillId="0" borderId="0" xfId="0" applyFont="1" applyAlignment="1"/>
    <xf numFmtId="3" fontId="23" fillId="0" borderId="11" xfId="214" applyNumberFormat="1" applyFont="1" applyFill="1" applyBorder="1" applyAlignment="1">
      <alignment horizontal="center" wrapText="1"/>
    </xf>
    <xf numFmtId="3" fontId="23" fillId="0" borderId="37" xfId="214" applyNumberFormat="1" applyFont="1" applyFill="1" applyBorder="1" applyAlignment="1">
      <alignment horizontal="center" wrapText="1"/>
    </xf>
    <xf numFmtId="0" fontId="11" fillId="0" borderId="35" xfId="271" quotePrefix="1" applyFont="1" applyBorder="1" applyAlignment="1">
      <alignment horizontal="left"/>
    </xf>
    <xf numFmtId="0" fontId="11" fillId="0" borderId="35" xfId="271" applyFont="1" applyBorder="1"/>
    <xf numFmtId="0" fontId="11" fillId="0" borderId="36" xfId="0" applyNumberFormat="1" applyFont="1" applyBorder="1" applyAlignment="1">
      <alignment horizontal="center"/>
    </xf>
    <xf numFmtId="0" fontId="11" fillId="0" borderId="37" xfId="271" applyFont="1" applyBorder="1"/>
    <xf numFmtId="0" fontId="11" fillId="0" borderId="37" xfId="271" applyFont="1" applyBorder="1" applyAlignment="1">
      <alignment horizontal="right"/>
    </xf>
    <xf numFmtId="173" fontId="11" fillId="0" borderId="14" xfId="89" applyNumberFormat="1" applyFont="1" applyBorder="1"/>
    <xf numFmtId="173" fontId="11" fillId="0" borderId="41" xfId="89" applyNumberFormat="1" applyFont="1" applyBorder="1"/>
    <xf numFmtId="0" fontId="11" fillId="0" borderId="0" xfId="271" applyFont="1"/>
    <xf numFmtId="37" fontId="11" fillId="0" borderId="0" xfId="271" applyNumberFormat="1" applyFont="1"/>
    <xf numFmtId="172" fontId="11" fillId="0" borderId="0" xfId="264" applyFont="1" applyAlignment="1"/>
    <xf numFmtId="0" fontId="8" fillId="0" borderId="35" xfId="271" applyFont="1" applyBorder="1" applyAlignment="1">
      <alignment horizontal="center" wrapText="1"/>
    </xf>
    <xf numFmtId="0" fontId="11" fillId="0" borderId="16" xfId="0" applyNumberFormat="1" applyFont="1" applyBorder="1" applyAlignment="1">
      <alignment horizontal="center"/>
    </xf>
    <xf numFmtId="0" fontId="11" fillId="0" borderId="42" xfId="271" applyFont="1" applyBorder="1" applyAlignment="1">
      <alignment horizontal="right"/>
    </xf>
    <xf numFmtId="0" fontId="11" fillId="0" borderId="32" xfId="0" applyNumberFormat="1" applyFont="1" applyBorder="1" applyAlignment="1">
      <alignment horizontal="center"/>
    </xf>
    <xf numFmtId="0" fontId="8" fillId="0" borderId="2" xfId="27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71" applyFont="1" applyBorder="1" applyAlignment="1">
      <alignment horizontal="center" wrapText="1"/>
    </xf>
    <xf numFmtId="0" fontId="8" fillId="0" borderId="34" xfId="271" applyFont="1" applyBorder="1" applyAlignment="1">
      <alignment horizontal="center"/>
    </xf>
    <xf numFmtId="3" fontId="11" fillId="0" borderId="36" xfId="214" applyNumberFormat="1" applyFont="1" applyFill="1" applyBorder="1" applyAlignment="1">
      <alignment horizontal="center" wrapText="1"/>
    </xf>
    <xf numFmtId="3" fontId="11" fillId="0" borderId="11" xfId="214" applyNumberFormat="1" applyFont="1" applyFill="1" applyBorder="1" applyAlignment="1">
      <alignment horizontal="center" wrapText="1"/>
    </xf>
    <xf numFmtId="0" fontId="11" fillId="0" borderId="0" xfId="271" quotePrefix="1" applyFont="1" applyBorder="1" applyAlignment="1">
      <alignment horizontal="left"/>
    </xf>
    <xf numFmtId="0" fontId="11" fillId="0" borderId="0" xfId="271" applyFont="1" applyBorder="1"/>
    <xf numFmtId="0" fontId="11" fillId="0" borderId="11" xfId="271" applyFont="1" applyBorder="1"/>
    <xf numFmtId="0" fontId="11" fillId="0" borderId="14" xfId="0" applyNumberFormat="1" applyFont="1" applyBorder="1" applyAlignment="1">
      <alignment horizontal="center"/>
    </xf>
    <xf numFmtId="173" fontId="11" fillId="0" borderId="43" xfId="89"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14" applyFont="1" applyFill="1" applyBorder="1" applyAlignment="1">
      <alignment horizontal="left" vertical="center"/>
    </xf>
    <xf numFmtId="0" fontId="11" fillId="0" borderId="0" xfId="214" applyNumberFormat="1" applyFont="1" applyFill="1" applyBorder="1" applyAlignment="1">
      <alignment horizontal="center"/>
    </xf>
    <xf numFmtId="0" fontId="16" fillId="0" borderId="0" xfId="214" applyFont="1" applyBorder="1" applyAlignment="1">
      <alignment horizontal="center" vertical="center"/>
    </xf>
    <xf numFmtId="0" fontId="16" fillId="0" borderId="0" xfId="260" applyFont="1" applyAlignment="1">
      <alignment horizontal="center" vertical="center" wrapText="1"/>
    </xf>
    <xf numFmtId="0" fontId="16" fillId="0" borderId="0" xfId="214" quotePrefix="1" applyFont="1" applyBorder="1" applyAlignment="1">
      <alignment horizontal="center" vertical="center" wrapText="1"/>
    </xf>
    <xf numFmtId="0" fontId="16" fillId="0" borderId="0" xfId="214" applyFont="1" applyFill="1" applyBorder="1" applyAlignment="1">
      <alignment horizontal="left"/>
    </xf>
    <xf numFmtId="0" fontId="11" fillId="0" borderId="0" xfId="214" applyFont="1" applyFill="1" applyBorder="1" applyAlignment="1">
      <alignment horizontal="center"/>
    </xf>
    <xf numFmtId="3" fontId="11" fillId="0" borderId="0" xfId="214" applyNumberFormat="1" applyFont="1" applyFill="1" applyBorder="1" applyAlignment="1"/>
    <xf numFmtId="173" fontId="0" fillId="0" borderId="0" xfId="113" applyNumberFormat="1" applyFont="1" applyFill="1"/>
    <xf numFmtId="0" fontId="8" fillId="0" borderId="0" xfId="214" applyFont="1" applyFill="1" applyBorder="1" applyAlignment="1">
      <alignment horizontal="left"/>
    </xf>
    <xf numFmtId="0" fontId="11" fillId="0" borderId="0" xfId="214" applyFont="1" applyFill="1" applyBorder="1"/>
    <xf numFmtId="3" fontId="11" fillId="0" borderId="0" xfId="214" applyNumberFormat="1" applyFont="1" applyFill="1" applyBorder="1" applyAlignment="1">
      <alignment horizontal="right"/>
    </xf>
    <xf numFmtId="3" fontId="11" fillId="32" borderId="0" xfId="214" applyNumberFormat="1" applyFont="1" applyFill="1" applyBorder="1" applyAlignment="1"/>
    <xf numFmtId="0" fontId="11" fillId="0" borderId="0" xfId="214" applyFont="1" applyBorder="1"/>
    <xf numFmtId="0" fontId="11" fillId="30" borderId="0" xfId="214" applyFont="1" applyFill="1" applyBorder="1" applyProtection="1">
      <protection locked="0"/>
    </xf>
    <xf numFmtId="173" fontId="7" fillId="30" borderId="11" xfId="90" applyNumberFormat="1" applyFont="1" applyFill="1" applyBorder="1" applyAlignment="1" applyProtection="1">
      <alignment horizontal="right"/>
      <protection locked="0"/>
    </xf>
    <xf numFmtId="173" fontId="0" fillId="0" borderId="11" xfId="113" applyNumberFormat="1" applyFont="1" applyFill="1" applyBorder="1"/>
    <xf numFmtId="173" fontId="11" fillId="0" borderId="0" xfId="214" applyNumberFormat="1" applyFont="1" applyFill="1" applyBorder="1"/>
    <xf numFmtId="0" fontId="80" fillId="0" borderId="0" xfId="214" applyNumberFormat="1" applyFont="1" applyFill="1" applyBorder="1" applyAlignment="1">
      <alignment horizontal="center"/>
    </xf>
    <xf numFmtId="0" fontId="11" fillId="0" borderId="0" xfId="260" applyFont="1" applyFill="1" applyAlignment="1">
      <alignment horizontal="left"/>
    </xf>
    <xf numFmtId="0" fontId="96" fillId="0" borderId="0" xfId="260" applyFont="1" applyFill="1" applyBorder="1"/>
    <xf numFmtId="0" fontId="16" fillId="0" borderId="0" xfId="26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90" applyNumberFormat="1" applyFont="1" applyFill="1" applyBorder="1" applyAlignment="1" applyProtection="1">
      <alignment horizontal="left"/>
      <protection locked="0"/>
    </xf>
    <xf numFmtId="0" fontId="7" fillId="30" borderId="0" xfId="90" applyNumberFormat="1" applyFont="1" applyFill="1" applyBorder="1" applyAlignment="1" applyProtection="1">
      <alignment horizontal="center"/>
      <protection locked="0"/>
    </xf>
    <xf numFmtId="173" fontId="62" fillId="0" borderId="0" xfId="113"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13"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14" applyFont="1" applyFill="1" applyBorder="1" applyAlignment="1">
      <alignment horizontal="left"/>
    </xf>
    <xf numFmtId="43" fontId="4" fillId="0" borderId="6" xfId="267" applyNumberFormat="1" applyFont="1" applyFill="1" applyBorder="1" applyAlignment="1" applyProtection="1"/>
    <xf numFmtId="0" fontId="11" fillId="0" borderId="33" xfId="0" applyFont="1" applyBorder="1" applyAlignment="1"/>
    <xf numFmtId="3" fontId="11" fillId="0" borderId="37" xfId="214" applyNumberFormat="1" applyFont="1" applyFill="1" applyBorder="1" applyAlignment="1">
      <alignment horizontal="center" wrapText="1"/>
    </xf>
    <xf numFmtId="0" fontId="11" fillId="0" borderId="0" xfId="168" applyNumberFormat="1" applyFont="1" applyAlignment="1">
      <alignment horizontal="center"/>
    </xf>
    <xf numFmtId="0" fontId="14" fillId="0" borderId="0" xfId="168" applyFont="1" applyAlignment="1"/>
    <xf numFmtId="0" fontId="14" fillId="0" borderId="0" xfId="168" applyNumberFormat="1" applyFont="1" applyAlignment="1">
      <alignment horizontal="center"/>
    </xf>
    <xf numFmtId="0" fontId="14" fillId="0" borderId="0" xfId="168" applyFont="1" applyAlignment="1">
      <alignment horizontal="right"/>
    </xf>
    <xf numFmtId="0" fontId="90" fillId="0" borderId="0" xfId="271" applyFont="1" applyAlignment="1">
      <alignment horizontal="centerContinuous"/>
    </xf>
    <xf numFmtId="0" fontId="14" fillId="0" borderId="0" xfId="271" applyFont="1" applyFill="1" applyAlignment="1">
      <alignment horizontal="left"/>
    </xf>
    <xf numFmtId="0" fontId="90" fillId="0" borderId="0" xfId="271" applyFont="1" applyAlignment="1">
      <alignment horizontal="center"/>
    </xf>
    <xf numFmtId="0" fontId="11" fillId="0" borderId="0" xfId="168" applyFont="1"/>
    <xf numFmtId="0" fontId="11" fillId="0" borderId="32" xfId="168" applyNumberFormat="1" applyFont="1" applyBorder="1" applyAlignment="1">
      <alignment horizontal="center" wrapText="1"/>
    </xf>
    <xf numFmtId="0" fontId="8" fillId="0" borderId="44" xfId="271" applyFont="1" applyBorder="1" applyAlignment="1">
      <alignment horizontal="center" wrapText="1"/>
    </xf>
    <xf numFmtId="0" fontId="14" fillId="0" borderId="0" xfId="168" applyFont="1" applyAlignment="1">
      <alignment wrapText="1"/>
    </xf>
    <xf numFmtId="0" fontId="11" fillId="0" borderId="34" xfId="168" applyNumberFormat="1" applyFont="1" applyBorder="1" applyAlignment="1">
      <alignment horizontal="center"/>
    </xf>
    <xf numFmtId="0" fontId="8" fillId="0" borderId="10" xfId="271" applyFont="1" applyBorder="1" applyAlignment="1">
      <alignment horizontal="center"/>
    </xf>
    <xf numFmtId="0" fontId="133" fillId="0" borderId="0" xfId="168" applyFont="1" applyAlignment="1"/>
    <xf numFmtId="3" fontId="23" fillId="0" borderId="36" xfId="214" applyNumberFormat="1" applyFont="1" applyFill="1" applyBorder="1" applyAlignment="1">
      <alignment horizontal="center" wrapText="1"/>
    </xf>
    <xf numFmtId="3" fontId="23" fillId="0" borderId="45" xfId="214" applyNumberFormat="1" applyFont="1" applyFill="1" applyBorder="1" applyAlignment="1">
      <alignment wrapText="1"/>
    </xf>
    <xf numFmtId="173" fontId="7" fillId="26" borderId="0" xfId="112" applyNumberFormat="1" applyFont="1" applyFill="1" applyAlignment="1" applyProtection="1">
      <protection locked="0"/>
    </xf>
    <xf numFmtId="41" fontId="11" fillId="0" borderId="10" xfId="271" applyNumberFormat="1" applyFont="1" applyFill="1" applyBorder="1"/>
    <xf numFmtId="0" fontId="11" fillId="0" borderId="36" xfId="168" applyNumberFormat="1" applyFont="1" applyBorder="1" applyAlignment="1">
      <alignment horizontal="center"/>
    </xf>
    <xf numFmtId="173" fontId="11" fillId="0" borderId="46" xfId="89" applyNumberFormat="1" applyFont="1" applyBorder="1"/>
    <xf numFmtId="3" fontId="23" fillId="0" borderId="45" xfId="214" applyNumberFormat="1" applyFont="1" applyFill="1" applyBorder="1" applyAlignment="1">
      <alignment horizontal="center" wrapText="1"/>
    </xf>
    <xf numFmtId="173" fontId="7" fillId="30" borderId="0" xfId="89" applyNumberFormat="1" applyFont="1" applyFill="1" applyBorder="1" applyProtection="1">
      <protection locked="0"/>
    </xf>
    <xf numFmtId="0" fontId="11" fillId="0" borderId="16" xfId="168" applyNumberFormat="1" applyFont="1" applyBorder="1" applyAlignment="1">
      <alignment horizontal="center"/>
    </xf>
    <xf numFmtId="0" fontId="14" fillId="0" borderId="0" xfId="271" applyFont="1"/>
    <xf numFmtId="37" fontId="14" fillId="0" borderId="0" xfId="271" applyNumberFormat="1" applyFont="1"/>
    <xf numFmtId="172" fontId="14" fillId="0" borderId="0" xfId="264" applyFont="1" applyAlignment="1"/>
    <xf numFmtId="0" fontId="11" fillId="0" borderId="0" xfId="261" applyFont="1" applyFill="1" applyAlignment="1" applyProtection="1">
      <alignment vertical="top"/>
    </xf>
    <xf numFmtId="0" fontId="11" fillId="0" borderId="0" xfId="168" applyFont="1" applyAlignment="1" applyProtection="1">
      <alignment vertical="top" wrapText="1"/>
    </xf>
    <xf numFmtId="0" fontId="133" fillId="0" borderId="0" xfId="168" applyNumberFormat="1" applyFont="1" applyAlignment="1">
      <alignment horizontal="center"/>
    </xf>
    <xf numFmtId="0" fontId="89" fillId="0" borderId="0" xfId="262" applyFont="1" applyFill="1" applyProtection="1"/>
    <xf numFmtId="0" fontId="90" fillId="0" borderId="0" xfId="168" applyFont="1" applyAlignment="1">
      <alignment horizontal="center"/>
    </xf>
    <xf numFmtId="0" fontId="90" fillId="0" borderId="0" xfId="168" quotePrefix="1" applyFont="1" applyAlignment="1">
      <alignment horizontal="center"/>
    </xf>
    <xf numFmtId="0" fontId="8" fillId="0" borderId="0" xfId="262" applyFont="1" applyFill="1" applyAlignment="1" applyProtection="1">
      <alignment horizontal="left"/>
    </xf>
    <xf numFmtId="173" fontId="11" fillId="0" borderId="0" xfId="89" applyNumberFormat="1" applyFont="1" applyFill="1" applyProtection="1"/>
    <xf numFmtId="0" fontId="11" fillId="0" borderId="0" xfId="262" applyFont="1" applyFill="1" applyProtection="1"/>
    <xf numFmtId="0" fontId="11" fillId="0" borderId="0" xfId="187"/>
    <xf numFmtId="0" fontId="11" fillId="0" borderId="0" xfId="262" applyFont="1" applyFill="1" applyAlignment="1" applyProtection="1">
      <alignment horizontal="left"/>
    </xf>
    <xf numFmtId="173" fontId="7" fillId="30" borderId="0" xfId="89" applyNumberFormat="1" applyFont="1" applyFill="1" applyProtection="1">
      <protection locked="0"/>
    </xf>
    <xf numFmtId="0" fontId="11" fillId="0" borderId="0" xfId="187" applyProtection="1"/>
    <xf numFmtId="10" fontId="11" fillId="0" borderId="0" xfId="280" applyNumberFormat="1" applyFont="1" applyFill="1" applyBorder="1" applyProtection="1"/>
    <xf numFmtId="173" fontId="7" fillId="26" borderId="6" xfId="89" applyNumberFormat="1" applyFont="1" applyFill="1" applyBorder="1" applyAlignment="1" applyProtection="1">
      <protection locked="0"/>
    </xf>
    <xf numFmtId="10" fontId="8" fillId="0" borderId="0" xfId="280" applyNumberFormat="1" applyFont="1" applyFill="1" applyBorder="1" applyProtection="1"/>
    <xf numFmtId="0" fontId="8" fillId="0" borderId="0" xfId="262" applyFont="1" applyFill="1" applyProtection="1"/>
    <xf numFmtId="173" fontId="8" fillId="0" borderId="0" xfId="280" applyNumberFormat="1" applyFont="1" applyFill="1" applyBorder="1" applyProtection="1"/>
    <xf numFmtId="173" fontId="11" fillId="0" borderId="0" xfId="280" applyNumberFormat="1" applyFont="1" applyFill="1" applyBorder="1" applyProtection="1"/>
    <xf numFmtId="10" fontId="8" fillId="0" borderId="18" xfId="280" applyNumberFormat="1" applyFont="1" applyFill="1" applyBorder="1" applyProtection="1"/>
    <xf numFmtId="0" fontId="99" fillId="0" borderId="0" xfId="187" applyFont="1" applyAlignment="1" applyProtection="1">
      <alignment horizontal="center"/>
    </xf>
    <xf numFmtId="0" fontId="11" fillId="0" borderId="0" xfId="267" applyNumberFormat="1" applyFont="1" applyFill="1" applyBorder="1" applyAlignment="1" applyProtection="1">
      <alignment horizontal="center" vertical="center"/>
    </xf>
    <xf numFmtId="0" fontId="134" fillId="0" borderId="0" xfId="187" applyFont="1" applyProtection="1"/>
    <xf numFmtId="0" fontId="11" fillId="0" borderId="0" xfId="267" applyNumberFormat="1" applyFont="1" applyFill="1" applyBorder="1" applyAlignment="1" applyProtection="1">
      <alignment horizontal="center" vertical="top"/>
    </xf>
    <xf numFmtId="0" fontId="62" fillId="0" borderId="0" xfId="187" applyFont="1" applyAlignment="1" applyProtection="1">
      <alignment vertical="top" wrapText="1"/>
    </xf>
    <xf numFmtId="0" fontId="8" fillId="0" borderId="0" xfId="267" applyNumberFormat="1" applyFont="1" applyFill="1" applyBorder="1" applyAlignment="1" applyProtection="1">
      <alignment horizontal="center" vertical="center"/>
    </xf>
    <xf numFmtId="0" fontId="21" fillId="0" borderId="0" xfId="187" applyFont="1" applyAlignment="1" applyProtection="1"/>
    <xf numFmtId="41" fontId="8" fillId="0" borderId="0" xfId="262" applyNumberFormat="1" applyFont="1" applyFill="1" applyBorder="1" applyAlignment="1" applyProtection="1">
      <alignment horizontal="center" wrapText="1"/>
    </xf>
    <xf numFmtId="0" fontId="8" fillId="0" borderId="0" xfId="262" applyFont="1" applyFill="1" applyAlignment="1" applyProtection="1">
      <alignment horizontal="center" wrapText="1"/>
    </xf>
    <xf numFmtId="0" fontId="7" fillId="26" borderId="0" xfId="262" applyFont="1" applyFill="1" applyProtection="1">
      <protection locked="0"/>
    </xf>
    <xf numFmtId="173" fontId="135" fillId="26" borderId="0" xfId="89" applyNumberFormat="1" applyFont="1" applyFill="1" applyProtection="1">
      <protection locked="0"/>
    </xf>
    <xf numFmtId="196" fontId="11" fillId="0" borderId="0" xfId="269" applyNumberFormat="1" applyFont="1" applyFill="1" applyAlignment="1" applyProtection="1">
      <alignment horizontal="center"/>
      <protection locked="0"/>
    </xf>
    <xf numFmtId="37" fontId="7" fillId="26" borderId="0" xfId="262" applyNumberFormat="1" applyFont="1" applyFill="1" applyProtection="1">
      <protection locked="0"/>
    </xf>
    <xf numFmtId="0" fontId="135" fillId="26" borderId="0" xfId="262" applyFont="1" applyFill="1" applyProtection="1">
      <protection locked="0"/>
    </xf>
    <xf numFmtId="197" fontId="11" fillId="0" borderId="0" xfId="269" applyNumberFormat="1" applyFill="1" applyAlignment="1" applyProtection="1">
      <alignment horizontal="center"/>
      <protection locked="0"/>
    </xf>
    <xf numFmtId="14" fontId="11" fillId="0" borderId="0" xfId="269" applyNumberFormat="1" applyFill="1" applyAlignment="1" applyProtection="1">
      <alignment horizontal="center"/>
      <protection locked="0"/>
    </xf>
    <xf numFmtId="0" fontId="11" fillId="0" borderId="0" xfId="187" applyFont="1" applyProtection="1"/>
    <xf numFmtId="0" fontId="11" fillId="0" borderId="11" xfId="187" applyFont="1" applyBorder="1" applyProtection="1"/>
    <xf numFmtId="0" fontId="14" fillId="0" borderId="11" xfId="262" applyFont="1" applyFill="1" applyBorder="1" applyProtection="1"/>
    <xf numFmtId="0" fontId="11" fillId="0" borderId="0" xfId="187" applyFill="1"/>
    <xf numFmtId="0" fontId="8" fillId="0" borderId="2" xfId="262" applyFont="1" applyFill="1" applyBorder="1" applyAlignment="1" applyProtection="1">
      <alignment horizontal="left"/>
    </xf>
    <xf numFmtId="173" fontId="11" fillId="0" borderId="2" xfId="280" applyNumberFormat="1" applyFont="1" applyFill="1" applyBorder="1" applyProtection="1"/>
    <xf numFmtId="173" fontId="8" fillId="0" borderId="0" xfId="89" applyNumberFormat="1" applyFont="1" applyFill="1" applyBorder="1" applyProtection="1"/>
    <xf numFmtId="0" fontId="89" fillId="0" borderId="0" xfId="262" applyFont="1" applyFill="1" applyAlignment="1" applyProtection="1">
      <alignment horizontal="left"/>
    </xf>
    <xf numFmtId="0" fontId="11" fillId="0" borderId="0" xfId="267" applyNumberFormat="1" applyFont="1" applyFill="1" applyBorder="1" applyAlignment="1" applyProtection="1">
      <alignment horizontal="center" wrapText="1"/>
    </xf>
    <xf numFmtId="173" fontId="14" fillId="0" borderId="0" xfId="168" applyNumberFormat="1" applyFont="1" applyAlignment="1"/>
    <xf numFmtId="0" fontId="11" fillId="0" borderId="0" xfId="262" applyFont="1" applyFill="1" applyBorder="1" applyProtection="1"/>
    <xf numFmtId="0" fontId="14" fillId="0" borderId="2" xfId="168" applyNumberFormat="1" applyFont="1" applyBorder="1" applyAlignment="1"/>
    <xf numFmtId="0" fontId="31" fillId="0" borderId="0" xfId="0" applyFont="1" applyFill="1" applyAlignment="1" applyProtection="1">
      <alignment horizontal="center"/>
    </xf>
    <xf numFmtId="168" fontId="4" fillId="0" borderId="0" xfId="267" applyNumberFormat="1" applyFont="1" applyFill="1" applyAlignment="1" applyProtection="1"/>
    <xf numFmtId="188" fontId="4" fillId="0" borderId="0" xfId="267" applyNumberFormat="1" applyFont="1" applyFill="1" applyAlignment="1" applyProtection="1">
      <alignment horizontal="center"/>
    </xf>
    <xf numFmtId="41" fontId="4" fillId="0" borderId="11" xfId="267" applyNumberFormat="1" applyFont="1" applyFill="1" applyBorder="1" applyAlignment="1" applyProtection="1"/>
    <xf numFmtId="0" fontId="4" fillId="0" borderId="0" xfId="168" applyFont="1" applyFill="1" applyAlignment="1" applyProtection="1">
      <alignment horizontal="center"/>
    </xf>
    <xf numFmtId="0" fontId="62" fillId="0" borderId="0" xfId="168" applyFont="1" applyFill="1" applyProtection="1"/>
    <xf numFmtId="0" fontId="4" fillId="0" borderId="0" xfId="168" applyFont="1" applyFill="1" applyProtection="1"/>
    <xf numFmtId="0" fontId="11" fillId="0" borderId="0" xfId="168" applyFont="1" applyFill="1" applyProtection="1"/>
    <xf numFmtId="173" fontId="4" fillId="32" borderId="0" xfId="86" applyNumberFormat="1" applyFont="1" applyFill="1" applyAlignment="1" applyProtection="1">
      <alignment horizontal="right"/>
    </xf>
    <xf numFmtId="179" fontId="4" fillId="0" borderId="0" xfId="267" applyNumberFormat="1" applyFont="1" applyFill="1" applyAlignment="1" applyProtection="1">
      <alignment horizontal="center"/>
    </xf>
    <xf numFmtId="0" fontId="62" fillId="0" borderId="0" xfId="260" applyFont="1" applyFill="1" applyAlignment="1">
      <alignment horizontal="center"/>
    </xf>
    <xf numFmtId="37" fontId="11" fillId="0" borderId="0" xfId="168" applyNumberFormat="1" applyFont="1"/>
    <xf numFmtId="0" fontId="8" fillId="0" borderId="0" xfId="260" applyFont="1" applyFill="1" applyBorder="1"/>
    <xf numFmtId="0" fontId="11" fillId="0" borderId="0" xfId="168"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73" applyFont="1" applyFill="1" applyProtection="1"/>
    <xf numFmtId="0" fontId="11" fillId="0" borderId="0" xfId="273" applyFont="1" applyFill="1" applyProtection="1"/>
    <xf numFmtId="0" fontId="11" fillId="0" borderId="0" xfId="0" applyFont="1" applyFill="1" applyAlignment="1" applyProtection="1">
      <alignment vertical="top"/>
    </xf>
    <xf numFmtId="41" fontId="18" fillId="0" borderId="0" xfId="260" applyNumberFormat="1" applyFont="1" applyFill="1" applyBorder="1" applyProtection="1">
      <protection locked="0"/>
    </xf>
    <xf numFmtId="0" fontId="5" fillId="0" borderId="0" xfId="260" applyFont="1" applyFill="1" applyBorder="1"/>
    <xf numFmtId="0" fontId="17" fillId="0" borderId="0" xfId="268" applyNumberFormat="1" applyFont="1" applyFill="1" applyAlignment="1">
      <alignment horizontal="center"/>
    </xf>
    <xf numFmtId="0" fontId="17" fillId="0" borderId="0" xfId="268" applyNumberFormat="1" applyFont="1" applyFill="1"/>
    <xf numFmtId="0" fontId="72" fillId="0" borderId="0" xfId="268" applyFont="1" applyFill="1" applyAlignment="1">
      <alignment wrapText="1"/>
    </xf>
    <xf numFmtId="0" fontId="5" fillId="0" borderId="0" xfId="261" applyFont="1" applyFill="1" applyAlignment="1">
      <alignment horizontal="center"/>
    </xf>
    <xf numFmtId="0" fontId="5" fillId="0" borderId="0" xfId="261" applyFont="1" applyFill="1" applyBorder="1" applyAlignment="1">
      <alignment horizontal="center"/>
    </xf>
    <xf numFmtId="0" fontId="5" fillId="0" borderId="0" xfId="261" quotePrefix="1" applyFont="1" applyFill="1" applyBorder="1" applyAlignment="1">
      <alignment horizontal="center"/>
    </xf>
    <xf numFmtId="0" fontId="5" fillId="0" borderId="0" xfId="261" applyFont="1" applyFill="1" applyAlignment="1">
      <alignment horizontal="left" vertical="center" wrapText="1"/>
    </xf>
    <xf numFmtId="0" fontId="5" fillId="0" borderId="0" xfId="261" applyFont="1" applyFill="1" applyAlignment="1">
      <alignment horizontal="center" vertical="center" wrapText="1"/>
    </xf>
    <xf numFmtId="0" fontId="5" fillId="0" borderId="0" xfId="261" applyFont="1" applyFill="1" applyBorder="1" applyAlignment="1">
      <alignment horizontal="center" vertical="center" wrapText="1"/>
    </xf>
    <xf numFmtId="0" fontId="5" fillId="0" borderId="0" xfId="261" quotePrefix="1" applyFont="1" applyFill="1" applyBorder="1" applyAlignment="1">
      <alignment horizontal="center" vertical="center" wrapText="1"/>
    </xf>
    <xf numFmtId="0" fontId="11" fillId="0" borderId="0" xfId="268" applyNumberFormat="1" applyFont="1" applyFill="1" applyAlignment="1">
      <alignment horizontal="center"/>
    </xf>
    <xf numFmtId="185" fontId="11" fillId="0" borderId="0" xfId="268" applyNumberFormat="1" applyFont="1" applyFill="1"/>
    <xf numFmtId="0" fontId="11" fillId="0" borderId="0" xfId="263" applyFont="1" applyFill="1" applyAlignment="1" applyProtection="1">
      <alignment horizontal="left"/>
    </xf>
    <xf numFmtId="0" fontId="11" fillId="0" borderId="0" xfId="187" applyFont="1" applyFill="1" applyProtection="1"/>
    <xf numFmtId="0" fontId="4" fillId="32" borderId="0" xfId="267" applyNumberFormat="1" applyFont="1" applyFill="1" applyAlignment="1" applyProtection="1">
      <alignment vertical="top" wrapText="1"/>
    </xf>
    <xf numFmtId="0" fontId="137" fillId="0" borderId="0" xfId="0" applyFont="1" applyAlignment="1">
      <alignment vertical="center"/>
    </xf>
    <xf numFmtId="0" fontId="138" fillId="0" borderId="0" xfId="214" applyFont="1" applyProtection="1"/>
    <xf numFmtId="0" fontId="139" fillId="0" borderId="0" xfId="214" applyFont="1" applyBorder="1" applyAlignment="1" applyProtection="1">
      <alignment horizontal="center"/>
    </xf>
    <xf numFmtId="3" fontId="140" fillId="0" borderId="0" xfId="214" applyNumberFormat="1" applyFont="1" applyAlignment="1" applyProtection="1">
      <alignment horizontal="center"/>
    </xf>
    <xf numFmtId="0" fontId="138" fillId="0" borderId="0" xfId="0" applyFont="1" applyAlignment="1" applyProtection="1"/>
    <xf numFmtId="0" fontId="141" fillId="0" borderId="0" xfId="214" applyFont="1" applyProtection="1"/>
    <xf numFmtId="0" fontId="140" fillId="0" borderId="0" xfId="214" applyFont="1" applyAlignment="1" applyProtection="1">
      <alignment horizontal="center"/>
    </xf>
    <xf numFmtId="0" fontId="139" fillId="0" borderId="0" xfId="213" applyFont="1" applyFill="1" applyProtection="1"/>
    <xf numFmtId="0" fontId="140" fillId="0" borderId="0" xfId="214" applyFont="1" applyFill="1" applyBorder="1" applyAlignment="1" applyProtection="1">
      <alignment horizontal="center"/>
    </xf>
    <xf numFmtId="0" fontId="139" fillId="0" borderId="0" xfId="214" applyFont="1" applyProtection="1"/>
    <xf numFmtId="0" fontId="142" fillId="0" borderId="0" xfId="214" applyFont="1" applyBorder="1" applyAlignment="1" applyProtection="1">
      <alignment horizontal="left"/>
    </xf>
    <xf numFmtId="0" fontId="139" fillId="0" borderId="0" xfId="214" applyFont="1" applyBorder="1" applyAlignment="1" applyProtection="1"/>
    <xf numFmtId="0" fontId="139" fillId="0" borderId="0" xfId="214" applyFont="1" applyBorder="1" applyProtection="1"/>
    <xf numFmtId="0" fontId="142" fillId="0" borderId="0" xfId="214" applyFont="1" applyFill="1" applyBorder="1" applyProtection="1"/>
    <xf numFmtId="3" fontId="139" fillId="0" borderId="0" xfId="214" applyNumberFormat="1" applyFont="1" applyFill="1" applyBorder="1" applyAlignment="1" applyProtection="1"/>
    <xf numFmtId="1" fontId="143" fillId="0" borderId="0" xfId="214" applyNumberFormat="1" applyFont="1" applyFill="1" applyBorder="1" applyAlignment="1" applyProtection="1">
      <alignment horizontal="center"/>
    </xf>
    <xf numFmtId="172" fontId="139" fillId="0" borderId="0" xfId="266" applyFont="1" applyBorder="1" applyAlignment="1" applyProtection="1"/>
    <xf numFmtId="6" fontId="138" fillId="0" borderId="0" xfId="214" applyNumberFormat="1" applyFont="1" applyProtection="1"/>
    <xf numFmtId="170" fontId="139" fillId="0" borderId="0" xfId="266" applyNumberFormat="1" applyFont="1" applyFill="1" applyBorder="1" applyAlignment="1" applyProtection="1">
      <alignment horizontal="right"/>
    </xf>
    <xf numFmtId="170" fontId="139" fillId="0" borderId="0" xfId="266" applyNumberFormat="1" applyFont="1" applyBorder="1" applyAlignment="1" applyProtection="1">
      <alignment horizontal="right"/>
    </xf>
    <xf numFmtId="171" fontId="139" fillId="0" borderId="0" xfId="266" applyNumberFormat="1" applyFont="1" applyFill="1" applyBorder="1" applyAlignment="1" applyProtection="1"/>
    <xf numFmtId="0" fontId="144" fillId="0" borderId="0" xfId="214" applyFont="1" applyProtection="1"/>
    <xf numFmtId="3" fontId="143" fillId="30" borderId="0" xfId="115" applyNumberFormat="1" applyFont="1" applyFill="1" applyBorder="1" applyAlignment="1" applyProtection="1">
      <alignment horizontal="right"/>
      <protection locked="0"/>
    </xf>
    <xf numFmtId="170" fontId="139" fillId="0" borderId="0" xfId="26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66" applyFont="1" applyFill="1" applyBorder="1" applyAlignment="1" applyProtection="1"/>
    <xf numFmtId="0" fontId="139" fillId="0" borderId="6" xfId="214" applyFont="1" applyBorder="1" applyAlignment="1" applyProtection="1">
      <alignment horizontal="center"/>
    </xf>
    <xf numFmtId="0" fontId="139" fillId="0" borderId="6" xfId="0" applyFont="1" applyBorder="1" applyAlignment="1" applyProtection="1"/>
    <xf numFmtId="172" fontId="139" fillId="0" borderId="6" xfId="26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14" applyNumberFormat="1" applyFont="1" applyBorder="1" applyProtection="1"/>
    <xf numFmtId="0" fontId="138" fillId="0" borderId="0" xfId="214" applyFont="1" applyBorder="1" applyProtection="1"/>
    <xf numFmtId="0" fontId="4" fillId="0" borderId="0" xfId="267" applyNumberFormat="1" applyFont="1" applyFill="1" applyAlignment="1" applyProtection="1">
      <alignment horizontal="left" indent="2"/>
    </xf>
    <xf numFmtId="0" fontId="4" fillId="30" borderId="0" xfId="0" applyNumberFormat="1" applyFont="1" applyFill="1" applyAlignment="1" applyProtection="1">
      <alignment horizontal="center"/>
      <protection locked="0"/>
    </xf>
    <xf numFmtId="0" fontId="11" fillId="34" borderId="30" xfId="0" applyNumberFormat="1" applyFont="1" applyFill="1" applyBorder="1" applyAlignment="1" applyProtection="1">
      <alignment horizontal="center"/>
    </xf>
    <xf numFmtId="0" fontId="62" fillId="30" borderId="0" xfId="0" applyNumberFormat="1" applyFont="1" applyFill="1" applyAlignment="1" applyProtection="1">
      <alignment horizontal="left"/>
      <protection locked="0"/>
    </xf>
    <xf numFmtId="0" fontId="62" fillId="30" borderId="0" xfId="0" quotePrefix="1" applyNumberFormat="1" applyFont="1" applyFill="1" applyAlignment="1" applyProtection="1">
      <alignment horizontal="left"/>
      <protection locked="0"/>
    </xf>
    <xf numFmtId="41" fontId="4" fillId="0" borderId="11" xfId="267" applyNumberFormat="1" applyFont="1" applyBorder="1" applyAlignment="1" applyProtection="1"/>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176" fontId="121" fillId="32" borderId="0" xfId="280" applyNumberFormat="1" applyFont="1" applyFill="1" applyProtection="1">
      <protection locked="0"/>
    </xf>
    <xf numFmtId="41" fontId="7" fillId="30" borderId="0" xfId="260" applyNumberFormat="1" applyFont="1" applyFill="1" applyProtection="1">
      <protection locked="0"/>
    </xf>
    <xf numFmtId="10" fontId="4" fillId="0" borderId="0" xfId="280" applyNumberFormat="1" applyFont="1" applyFill="1" applyAlignment="1" applyProtection="1"/>
    <xf numFmtId="0" fontId="4" fillId="0" borderId="0" xfId="0" applyFont="1" applyFill="1" applyAlignment="1" applyProtection="1">
      <alignment horizontal="center"/>
    </xf>
    <xf numFmtId="171" fontId="139" fillId="34" borderId="0" xfId="266" applyNumberFormat="1" applyFont="1" applyFill="1" applyBorder="1" applyAlignment="1" applyProtection="1">
      <protection locked="0"/>
    </xf>
    <xf numFmtId="0" fontId="17" fillId="0" borderId="0" xfId="268" applyFont="1" applyAlignment="1">
      <alignment horizontal="center"/>
    </xf>
    <xf numFmtId="10" fontId="2" fillId="0" borderId="0" xfId="270" applyNumberFormat="1" applyFill="1" applyBorder="1" applyProtection="1"/>
    <xf numFmtId="0" fontId="23" fillId="0" borderId="0" xfId="219" applyFont="1"/>
    <xf numFmtId="0" fontId="23" fillId="0" borderId="0" xfId="219" applyFont="1" applyAlignment="1">
      <alignment horizontal="center"/>
    </xf>
    <xf numFmtId="0" fontId="11" fillId="0" borderId="0" xfId="219" applyFont="1" applyAlignment="1">
      <alignment horizontal="right"/>
    </xf>
    <xf numFmtId="14" fontId="23" fillId="0" borderId="0" xfId="219" applyNumberFormat="1" applyFont="1"/>
    <xf numFmtId="0" fontId="23" fillId="0" borderId="0" xfId="168" applyFont="1"/>
    <xf numFmtId="9" fontId="23" fillId="0" borderId="0" xfId="279" applyFont="1"/>
    <xf numFmtId="41" fontId="23" fillId="0" borderId="0" xfId="219" applyNumberFormat="1" applyFont="1"/>
    <xf numFmtId="10" fontId="23" fillId="0" borderId="0" xfId="281" applyNumberFormat="1" applyFont="1"/>
    <xf numFmtId="0" fontId="23" fillId="0" borderId="0" xfId="0" applyFont="1" applyAlignment="1"/>
    <xf numFmtId="0" fontId="24" fillId="0" borderId="13" xfId="219" applyFont="1" applyBorder="1" applyAlignment="1">
      <alignment horizontal="center" wrapText="1"/>
    </xf>
    <xf numFmtId="0" fontId="24" fillId="0" borderId="0" xfId="219" applyFont="1" applyAlignment="1">
      <alignment horizontal="center"/>
    </xf>
    <xf numFmtId="0" fontId="24" fillId="0" borderId="0" xfId="219" applyFont="1" applyBorder="1" applyAlignment="1">
      <alignment horizontal="center" wrapText="1"/>
    </xf>
    <xf numFmtId="0" fontId="24" fillId="0" borderId="0" xfId="219" applyFont="1" applyFill="1" applyBorder="1" applyAlignment="1">
      <alignment horizontal="center" wrapText="1"/>
    </xf>
    <xf numFmtId="0" fontId="24" fillId="0" borderId="0" xfId="219" applyFont="1" applyAlignment="1">
      <alignment horizontal="left"/>
    </xf>
    <xf numFmtId="0" fontId="23" fillId="35" borderId="0" xfId="219" applyFont="1" applyFill="1"/>
    <xf numFmtId="49" fontId="23" fillId="0" borderId="0" xfId="219" applyNumberFormat="1" applyFont="1" applyFill="1" applyAlignment="1">
      <alignment horizontal="center"/>
    </xf>
    <xf numFmtId="0" fontId="23" fillId="0" borderId="0" xfId="219" applyFont="1" applyBorder="1"/>
    <xf numFmtId="0" fontId="23" fillId="0" borderId="0" xfId="219" applyFont="1" applyFill="1" applyBorder="1" applyAlignment="1">
      <alignment horizontal="center"/>
    </xf>
    <xf numFmtId="41" fontId="23" fillId="30" borderId="12" xfId="261" applyNumberFormat="1" applyFont="1" applyFill="1" applyBorder="1" applyProtection="1">
      <protection locked="0"/>
    </xf>
    <xf numFmtId="173" fontId="23" fillId="36" borderId="12" xfId="117" applyNumberFormat="1" applyFont="1" applyFill="1" applyBorder="1"/>
    <xf numFmtId="173" fontId="23" fillId="0" borderId="47" xfId="117" applyNumberFormat="1" applyFont="1" applyFill="1" applyBorder="1"/>
    <xf numFmtId="173" fontId="23" fillId="0" borderId="12" xfId="117" applyNumberFormat="1" applyFont="1" applyFill="1" applyBorder="1"/>
    <xf numFmtId="41" fontId="23" fillId="30" borderId="0" xfId="261" applyNumberFormat="1" applyFont="1" applyFill="1" applyBorder="1" applyProtection="1">
      <protection locked="0"/>
    </xf>
    <xf numFmtId="41" fontId="23" fillId="0" borderId="0" xfId="219" applyNumberFormat="1" applyFont="1" applyBorder="1" applyAlignment="1">
      <alignment horizontal="center"/>
    </xf>
    <xf numFmtId="0" fontId="24" fillId="0" borderId="0" xfId="219" applyFont="1" applyBorder="1"/>
    <xf numFmtId="173" fontId="23" fillId="36" borderId="47" xfId="117" applyNumberFormat="1" applyFont="1" applyFill="1" applyBorder="1"/>
    <xf numFmtId="41" fontId="23" fillId="0" borderId="12" xfId="168" applyNumberFormat="1" applyFont="1" applyFill="1" applyBorder="1"/>
    <xf numFmtId="41" fontId="23" fillId="30" borderId="34" xfId="26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9" applyNumberFormat="1" applyFont="1" applyAlignment="1">
      <alignment horizontal="center"/>
    </xf>
    <xf numFmtId="0" fontId="24" fillId="0" borderId="0" xfId="219" applyFont="1"/>
    <xf numFmtId="41" fontId="23" fillId="30" borderId="34" xfId="261" applyNumberFormat="1" applyFont="1" applyFill="1" applyBorder="1" applyAlignment="1" applyProtection="1">
      <alignment vertical="top"/>
      <protection locked="0"/>
    </xf>
    <xf numFmtId="0" fontId="0" fillId="0" borderId="0" xfId="0" applyFont="1"/>
    <xf numFmtId="0" fontId="23" fillId="0" borderId="0" xfId="168" applyFont="1" applyFill="1"/>
    <xf numFmtId="0" fontId="23" fillId="0" borderId="0" xfId="168" applyFont="1" applyFill="1" applyBorder="1"/>
    <xf numFmtId="0" fontId="23" fillId="0" borderId="0" xfId="219" applyFont="1" applyFill="1" applyAlignment="1">
      <alignment horizontal="center"/>
    </xf>
    <xf numFmtId="0" fontId="23" fillId="0" borderId="0" xfId="219" applyFont="1" applyAlignment="1">
      <alignment wrapText="1"/>
    </xf>
    <xf numFmtId="173" fontId="23" fillId="36" borderId="0" xfId="117" applyNumberFormat="1" applyFont="1" applyFill="1" applyBorder="1"/>
    <xf numFmtId="41" fontId="23" fillId="30" borderId="48" xfId="261" applyNumberFormat="1" applyFont="1" applyFill="1" applyBorder="1" applyProtection="1">
      <protection locked="0"/>
    </xf>
    <xf numFmtId="173" fontId="23" fillId="0" borderId="0" xfId="117" applyNumberFormat="1" applyFont="1" applyFill="1" applyBorder="1"/>
    <xf numFmtId="173" fontId="23" fillId="0" borderId="0" xfId="117" applyNumberFormat="1" applyFont="1" applyBorder="1" applyAlignment="1">
      <alignment wrapText="1"/>
    </xf>
    <xf numFmtId="0" fontId="23" fillId="0" borderId="0" xfId="219"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7"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9" applyFont="1" applyAlignment="1">
      <alignment horizontal="left" vertical="center"/>
    </xf>
    <xf numFmtId="0" fontId="23" fillId="0" borderId="0" xfId="219" applyFont="1" applyAlignment="1">
      <alignment vertical="top" wrapText="1"/>
    </xf>
    <xf numFmtId="0" fontId="23" fillId="0" borderId="0" xfId="219" applyFont="1" applyAlignment="1"/>
    <xf numFmtId="173" fontId="23" fillId="0" borderId="0" xfId="219" applyNumberFormat="1" applyFont="1"/>
    <xf numFmtId="0" fontId="23" fillId="0" borderId="0" xfId="219" applyFont="1" applyFill="1" applyAlignment="1">
      <alignment vertical="top" wrapText="1"/>
    </xf>
    <xf numFmtId="0" fontId="23" fillId="0" borderId="0" xfId="219" applyFont="1" applyFill="1"/>
    <xf numFmtId="173" fontId="23" fillId="0" borderId="0" xfId="219" applyNumberFormat="1" applyFont="1" applyAlignment="1">
      <alignment horizontal="left" vertical="center"/>
    </xf>
    <xf numFmtId="173" fontId="11" fillId="0" borderId="0" xfId="0" applyNumberFormat="1" applyFont="1" applyFill="1" applyBorder="1" applyProtection="1"/>
    <xf numFmtId="41" fontId="7" fillId="33" borderId="0" xfId="26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0" fontId="23" fillId="0" borderId="11" xfId="0" applyFont="1" applyBorder="1" applyAlignment="1">
      <alignment horizontal="center"/>
    </xf>
    <xf numFmtId="0" fontId="23" fillId="0" borderId="0" xfId="218" applyFont="1"/>
    <xf numFmtId="0" fontId="23" fillId="0" borderId="0" xfId="218" applyFont="1" applyAlignment="1">
      <alignment horizontal="left" vertical="center"/>
    </xf>
    <xf numFmtId="0" fontId="23" fillId="0" borderId="0" xfId="218" applyFont="1" applyAlignment="1">
      <alignment vertical="top" wrapText="1"/>
    </xf>
    <xf numFmtId="0" fontId="23" fillId="0" borderId="0" xfId="218" applyFont="1" applyAlignment="1">
      <alignment vertical="top"/>
    </xf>
    <xf numFmtId="0" fontId="23" fillId="0" borderId="0" xfId="218" applyFont="1" applyFill="1" applyAlignment="1">
      <alignment horizontal="left"/>
    </xf>
    <xf numFmtId="0" fontId="23" fillId="0" borderId="0" xfId="218" applyFont="1" applyAlignment="1">
      <alignment horizontal="left"/>
    </xf>
    <xf numFmtId="0" fontId="23" fillId="0" borderId="0" xfId="218" applyFont="1" applyAlignment="1">
      <alignment horizontal="center"/>
    </xf>
    <xf numFmtId="0" fontId="23" fillId="0" borderId="0" xfId="218" applyFont="1" applyAlignment="1"/>
    <xf numFmtId="0" fontId="23" fillId="0" borderId="0" xfId="218" applyFont="1" applyFill="1"/>
    <xf numFmtId="0" fontId="24" fillId="0" borderId="0" xfId="218" applyFont="1" applyAlignment="1">
      <alignment horizontal="left" vertical="center"/>
    </xf>
    <xf numFmtId="173" fontId="23" fillId="0" borderId="0" xfId="218" applyNumberFormat="1" applyFont="1" applyAlignment="1">
      <alignment horizontal="left" vertical="center"/>
    </xf>
    <xf numFmtId="49" fontId="11" fillId="0" borderId="0" xfId="234" applyNumberFormat="1" applyFont="1"/>
    <xf numFmtId="0" fontId="11" fillId="0" borderId="0" xfId="234" applyFont="1"/>
    <xf numFmtId="0" fontId="4" fillId="0" borderId="0" xfId="234" applyFont="1" applyAlignment="1">
      <alignment horizontal="right"/>
    </xf>
    <xf numFmtId="0" fontId="23" fillId="0" borderId="0" xfId="219" applyFont="1" applyAlignment="1">
      <alignment horizontal="right"/>
    </xf>
    <xf numFmtId="173" fontId="11" fillId="0" borderId="0" xfId="106" applyNumberFormat="1" applyFont="1"/>
    <xf numFmtId="0" fontId="11" fillId="0" borderId="0" xfId="219" applyFont="1"/>
    <xf numFmtId="41" fontId="8" fillId="0" borderId="0" xfId="261" applyNumberFormat="1" applyFont="1" applyFill="1" applyBorder="1" applyAlignment="1" applyProtection="1">
      <alignment horizontal="center"/>
      <protection locked="0"/>
    </xf>
    <xf numFmtId="41" fontId="11" fillId="0" borderId="0" xfId="261" applyNumberFormat="1" applyFont="1" applyFill="1" applyBorder="1" applyAlignment="1" applyProtection="1">
      <protection locked="0"/>
    </xf>
    <xf numFmtId="1" fontId="11" fillId="0" borderId="0" xfId="234" applyNumberFormat="1" applyFont="1"/>
    <xf numFmtId="1" fontId="11" fillId="0" borderId="0" xfId="234" applyNumberFormat="1" applyFont="1" applyAlignment="1">
      <alignment horizontal="center"/>
    </xf>
    <xf numFmtId="0" fontId="11" fillId="0" borderId="0" xfId="234" applyFont="1" applyAlignment="1">
      <alignment horizontal="center"/>
    </xf>
    <xf numFmtId="0" fontId="11" fillId="0" borderId="0" xfId="234" applyFont="1" applyAlignment="1">
      <alignment horizontal="center" wrapText="1"/>
    </xf>
    <xf numFmtId="0" fontId="11" fillId="0" borderId="0" xfId="234" applyFont="1" applyAlignment="1">
      <alignment wrapText="1"/>
    </xf>
    <xf numFmtId="2" fontId="11" fillId="0" borderId="0" xfId="234" applyNumberFormat="1" applyFont="1"/>
    <xf numFmtId="0" fontId="11" fillId="0" borderId="0" xfId="187" applyFont="1" applyFill="1" applyAlignment="1">
      <alignment horizontal="center" wrapText="1"/>
    </xf>
    <xf numFmtId="0" fontId="11" fillId="0" borderId="0" xfId="187" applyFont="1" applyFill="1"/>
    <xf numFmtId="0" fontId="11" fillId="0" borderId="0" xfId="234" applyFont="1" applyFill="1" applyAlignment="1">
      <alignment horizontal="center" wrapText="1"/>
    </xf>
    <xf numFmtId="49" fontId="11" fillId="0" borderId="0" xfId="106" applyNumberFormat="1" applyFont="1"/>
    <xf numFmtId="173" fontId="11" fillId="0" borderId="11" xfId="106" applyNumberFormat="1" applyFont="1" applyBorder="1"/>
    <xf numFmtId="0" fontId="11" fillId="0" borderId="0" xfId="234"/>
    <xf numFmtId="9" fontId="0" fillId="0" borderId="0" xfId="295" applyFont="1"/>
    <xf numFmtId="173" fontId="11" fillId="0" borderId="0" xfId="106" applyNumberFormat="1" applyFont="1" applyFill="1"/>
    <xf numFmtId="9" fontId="11" fillId="0" borderId="0" xfId="295" applyNumberFormat="1" applyFont="1" applyFill="1"/>
    <xf numFmtId="10" fontId="0" fillId="0" borderId="0" xfId="295" applyNumberFormat="1" applyFont="1" applyFill="1"/>
    <xf numFmtId="9" fontId="11" fillId="0" borderId="0" xfId="295" applyFont="1" applyFill="1"/>
    <xf numFmtId="9" fontId="0" fillId="0" borderId="0" xfId="295" applyFont="1" applyFill="1"/>
    <xf numFmtId="9" fontId="0" fillId="0" borderId="0" xfId="295" applyNumberFormat="1" applyFont="1" applyFill="1"/>
    <xf numFmtId="0" fontId="11" fillId="0" borderId="0" xfId="234" applyFont="1" applyFill="1"/>
    <xf numFmtId="198" fontId="0" fillId="0" borderId="0" xfId="106" applyNumberFormat="1" applyFont="1" applyFill="1"/>
    <xf numFmtId="173" fontId="23" fillId="0" borderId="0" xfId="93" applyNumberFormat="1" applyFont="1" applyBorder="1" applyAlignment="1">
      <alignment horizontal="center"/>
    </xf>
    <xf numFmtId="0" fontId="11" fillId="0" borderId="0" xfId="234" applyFill="1"/>
    <xf numFmtId="9" fontId="11" fillId="0" borderId="0" xfId="295" applyFont="1"/>
    <xf numFmtId="173" fontId="11" fillId="0" borderId="13" xfId="106" applyNumberFormat="1" applyFont="1" applyBorder="1"/>
    <xf numFmtId="173" fontId="11" fillId="0" borderId="0" xfId="106" applyNumberFormat="1" applyFont="1" applyBorder="1"/>
    <xf numFmtId="9" fontId="11" fillId="0" borderId="0" xfId="295" applyFont="1" applyBorder="1"/>
    <xf numFmtId="0" fontId="14" fillId="0" borderId="0" xfId="234" applyFont="1"/>
    <xf numFmtId="0" fontId="14" fillId="0" borderId="0" xfId="234" applyFont="1" applyAlignment="1">
      <alignment vertical="top"/>
    </xf>
    <xf numFmtId="0" fontId="11" fillId="0" borderId="0" xfId="234" applyFont="1" applyAlignment="1">
      <alignment vertical="center"/>
    </xf>
    <xf numFmtId="0" fontId="11" fillId="0" borderId="0" xfId="234" applyFont="1" applyAlignment="1"/>
    <xf numFmtId="0" fontId="23" fillId="0" borderId="11" xfId="218" applyFont="1" applyBorder="1"/>
    <xf numFmtId="0" fontId="24" fillId="0" borderId="11" xfId="218" applyFont="1" applyBorder="1" applyAlignment="1">
      <alignment horizontal="center" wrapText="1"/>
    </xf>
    <xf numFmtId="0" fontId="24" fillId="0" borderId="11" xfId="218" applyFont="1" applyBorder="1" applyAlignment="1">
      <alignment horizontal="center"/>
    </xf>
    <xf numFmtId="0" fontId="24" fillId="0" borderId="13" xfId="218" applyFont="1" applyBorder="1" applyAlignment="1">
      <alignment horizontal="center" wrapText="1"/>
    </xf>
    <xf numFmtId="0" fontId="24" fillId="0" borderId="11" xfId="218" applyFont="1" applyFill="1" applyBorder="1" applyAlignment="1">
      <alignment horizontal="center" wrapText="1"/>
    </xf>
    <xf numFmtId="170" fontId="143" fillId="30" borderId="0" xfId="266" applyNumberFormat="1" applyFont="1" applyFill="1" applyAlignment="1" applyProtection="1">
      <alignment horizontal="right"/>
      <protection locked="0"/>
    </xf>
    <xf numFmtId="2" fontId="11" fillId="0" borderId="0" xfId="347" applyNumberFormat="1" applyFont="1"/>
    <xf numFmtId="172" fontId="11" fillId="0" borderId="0" xfId="347" applyFont="1"/>
    <xf numFmtId="170" fontId="11" fillId="0" borderId="0" xfId="347" applyNumberFormat="1" applyFont="1"/>
    <xf numFmtId="172" fontId="4" fillId="0" borderId="0" xfId="347" applyFont="1" applyAlignment="1">
      <alignment horizontal="right"/>
    </xf>
    <xf numFmtId="173" fontId="11" fillId="0" borderId="0" xfId="348" applyNumberFormat="1" applyFont="1"/>
    <xf numFmtId="172" fontId="11" fillId="0" borderId="0" xfId="347" applyFont="1" applyAlignment="1">
      <alignment horizontal="right"/>
    </xf>
    <xf numFmtId="2" fontId="11" fillId="0" borderId="0" xfId="347" applyNumberFormat="1" applyFont="1" applyAlignment="1">
      <alignment horizontal="center"/>
    </xf>
    <xf numFmtId="172" fontId="11" fillId="0" borderId="0" xfId="347" applyFont="1" applyAlignment="1">
      <alignment horizontal="center"/>
    </xf>
    <xf numFmtId="170" fontId="11" fillId="0" borderId="0" xfId="347" applyNumberFormat="1" applyFont="1" applyAlignment="1">
      <alignment horizontal="center"/>
    </xf>
    <xf numFmtId="172" fontId="11" fillId="0" borderId="0" xfId="347" applyFont="1" applyAlignment="1">
      <alignment wrapText="1"/>
    </xf>
    <xf numFmtId="170" fontId="11" fillId="0" borderId="0" xfId="347" applyNumberFormat="1" applyFont="1" applyAlignment="1">
      <alignment horizontal="center" wrapText="1"/>
    </xf>
    <xf numFmtId="172" fontId="11" fillId="0" borderId="0" xfId="347" applyFont="1" applyAlignment="1">
      <alignment horizontal="center" wrapText="1"/>
    </xf>
    <xf numFmtId="172" fontId="2" fillId="0" borderId="0" xfId="347"/>
    <xf numFmtId="2" fontId="8" fillId="0" borderId="0" xfId="347" applyNumberFormat="1" applyFont="1"/>
    <xf numFmtId="170" fontId="11" fillId="0" borderId="0" xfId="348" applyNumberFormat="1" applyFont="1"/>
    <xf numFmtId="173" fontId="11" fillId="0" borderId="0" xfId="348" applyNumberFormat="1" applyFont="1" applyFill="1"/>
    <xf numFmtId="1" fontId="11" fillId="0" borderId="0" xfId="347" applyNumberFormat="1" applyFont="1" applyAlignment="1">
      <alignment horizontal="center"/>
    </xf>
    <xf numFmtId="49" fontId="11" fillId="0" borderId="0" xfId="348" applyNumberFormat="1" applyFont="1"/>
    <xf numFmtId="192" fontId="0" fillId="0" borderId="0" xfId="282" applyNumberFormat="1" applyFont="1"/>
    <xf numFmtId="172" fontId="2" fillId="0" borderId="0" xfId="347" applyAlignment="1">
      <alignment horizontal="center"/>
    </xf>
    <xf numFmtId="192" fontId="0" fillId="0" borderId="11" xfId="282" applyNumberFormat="1" applyFont="1" applyBorder="1"/>
    <xf numFmtId="173" fontId="0" fillId="0" borderId="0" xfId="88" applyNumberFormat="1" applyFont="1"/>
    <xf numFmtId="170" fontId="0" fillId="0" borderId="0" xfId="0" applyNumberFormat="1"/>
    <xf numFmtId="9" fontId="11" fillId="0" borderId="0" xfId="349" applyFont="1" applyFill="1" applyAlignment="1">
      <alignment horizontal="center"/>
    </xf>
    <xf numFmtId="10" fontId="11" fillId="0" borderId="0" xfId="349" applyNumberFormat="1" applyFont="1" applyFill="1" applyAlignment="1"/>
    <xf numFmtId="173" fontId="11" fillId="0" borderId="0" xfId="349" applyNumberFormat="1" applyFont="1" applyFill="1"/>
    <xf numFmtId="9" fontId="11" fillId="0" borderId="0" xfId="349" applyFont="1" applyFill="1"/>
    <xf numFmtId="164" fontId="11" fillId="0" borderId="0" xfId="349" applyNumberFormat="1" applyFont="1" applyFill="1" applyAlignment="1">
      <alignment horizontal="center"/>
    </xf>
    <xf numFmtId="10" fontId="11" fillId="0" borderId="0" xfId="349" applyNumberFormat="1" applyFont="1" applyFill="1" applyAlignment="1">
      <alignment horizontal="center" wrapText="1"/>
    </xf>
    <xf numFmtId="43" fontId="11" fillId="0" borderId="0" xfId="348" applyFont="1" applyFill="1"/>
    <xf numFmtId="9" fontId="11" fillId="0" borderId="0" xfId="348" applyNumberFormat="1" applyFont="1" applyFill="1" applyAlignment="1">
      <alignment horizontal="center"/>
    </xf>
    <xf numFmtId="10" fontId="11" fillId="0" borderId="0" xfId="349" applyNumberFormat="1" applyFont="1" applyFill="1"/>
    <xf numFmtId="170" fontId="11" fillId="0" borderId="13" xfId="348" applyNumberFormat="1" applyFont="1" applyBorder="1"/>
    <xf numFmtId="173" fontId="11" fillId="0" borderId="13" xfId="348" applyNumberFormat="1" applyFont="1" applyFill="1" applyBorder="1"/>
    <xf numFmtId="173" fontId="11" fillId="0" borderId="0" xfId="348" applyNumberFormat="1" applyFont="1" applyFill="1" applyBorder="1"/>
    <xf numFmtId="9" fontId="11" fillId="0" borderId="0" xfId="348" applyNumberFormat="1" applyFont="1" applyFill="1" applyBorder="1" applyAlignment="1">
      <alignment horizontal="center"/>
    </xf>
    <xf numFmtId="10" fontId="11" fillId="0" borderId="0" xfId="349" applyNumberFormat="1" applyFont="1"/>
    <xf numFmtId="170" fontId="11" fillId="0" borderId="0" xfId="348" applyNumberFormat="1" applyFont="1" applyBorder="1"/>
    <xf numFmtId="10" fontId="11" fillId="0" borderId="0" xfId="348" applyNumberFormat="1" applyFont="1" applyFill="1" applyBorder="1" applyAlignment="1">
      <alignment horizontal="center"/>
    </xf>
    <xf numFmtId="2" fontId="2" fillId="0" borderId="0" xfId="347" applyNumberFormat="1"/>
    <xf numFmtId="9" fontId="11" fillId="0" borderId="0" xfId="349" applyFont="1"/>
    <xf numFmtId="2" fontId="11" fillId="0" borderId="0" xfId="347" applyNumberFormat="1" applyFont="1" applyAlignment="1">
      <alignment horizontal="left" wrapText="1"/>
    </xf>
    <xf numFmtId="170" fontId="2" fillId="0" borderId="0" xfId="347" applyNumberFormat="1"/>
    <xf numFmtId="173" fontId="7" fillId="26" borderId="33" xfId="112" applyNumberFormat="1" applyFont="1" applyFill="1" applyBorder="1" applyAlignment="1" applyProtection="1">
      <protection locked="0"/>
    </xf>
    <xf numFmtId="173" fontId="7" fillId="26" borderId="35" xfId="112" applyNumberFormat="1" applyFont="1" applyFill="1" applyBorder="1" applyAlignment="1" applyProtection="1">
      <protection locked="0"/>
    </xf>
    <xf numFmtId="173" fontId="7" fillId="26" borderId="37" xfId="112" applyNumberFormat="1" applyFont="1" applyFill="1" applyBorder="1" applyAlignment="1" applyProtection="1">
      <protection locked="0"/>
    </xf>
    <xf numFmtId="3" fontId="107" fillId="31" borderId="0" xfId="267" applyNumberFormat="1" applyFont="1" applyFill="1" applyAlignment="1" applyProtection="1">
      <alignment horizontal="center"/>
    </xf>
    <xf numFmtId="3" fontId="9" fillId="0" borderId="0" xfId="26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67" applyNumberFormat="1" applyFont="1" applyFill="1" applyAlignment="1" applyProtection="1">
      <alignment horizontal="left" vertical="top" wrapText="1"/>
    </xf>
    <xf numFmtId="172" fontId="76" fillId="0" borderId="0" xfId="267" applyFont="1" applyAlignment="1" applyProtection="1">
      <alignment horizontal="left" wrapText="1"/>
    </xf>
    <xf numFmtId="49" fontId="4" fillId="0" borderId="0" xfId="267" applyNumberFormat="1" applyFont="1" applyAlignment="1" applyProtection="1">
      <alignment horizontal="center"/>
    </xf>
    <xf numFmtId="0" fontId="31" fillId="0" borderId="0" xfId="0" applyFont="1" applyAlignment="1" applyProtection="1">
      <alignment horizontal="center"/>
    </xf>
    <xf numFmtId="0" fontId="9" fillId="0" borderId="0" xfId="26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7"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67" applyFont="1" applyAlignment="1" applyProtection="1">
      <alignment horizontal="left" wrapText="1"/>
    </xf>
    <xf numFmtId="0" fontId="4" fillId="0" borderId="0" xfId="267" applyNumberFormat="1" applyFont="1" applyFill="1" applyAlignment="1" applyProtection="1">
      <alignment vertical="top" wrapText="1"/>
    </xf>
    <xf numFmtId="0" fontId="11" fillId="0" borderId="0" xfId="0" applyFont="1" applyFill="1" applyProtection="1"/>
    <xf numFmtId="0" fontId="25" fillId="0" borderId="0" xfId="267" applyNumberFormat="1" applyFont="1" applyFill="1" applyAlignment="1" applyProtection="1">
      <alignment horizontal="left" wrapText="1"/>
    </xf>
    <xf numFmtId="172" fontId="4" fillId="0" borderId="0" xfId="26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67" applyFont="1" applyFill="1" applyAlignment="1" applyProtection="1">
      <alignment vertical="top" wrapText="1"/>
    </xf>
    <xf numFmtId="0" fontId="25" fillId="0" borderId="0" xfId="0" applyFont="1" applyAlignment="1" applyProtection="1">
      <alignment vertical="top" wrapText="1"/>
    </xf>
    <xf numFmtId="172" fontId="25" fillId="0" borderId="0" xfId="267" applyFont="1" applyFill="1" applyAlignment="1" applyProtection="1">
      <alignment wrapText="1"/>
    </xf>
    <xf numFmtId="172" fontId="4" fillId="0" borderId="0" xfId="267" applyFont="1" applyFill="1" applyAlignment="1" applyProtection="1">
      <alignment vertical="top" wrapText="1"/>
    </xf>
    <xf numFmtId="172" fontId="106" fillId="0" borderId="0" xfId="267" applyFont="1" applyFill="1" applyAlignment="1" applyProtection="1">
      <alignment wrapText="1"/>
    </xf>
    <xf numFmtId="0" fontId="31" fillId="0" borderId="0" xfId="0" applyFont="1" applyAlignment="1" applyProtection="1">
      <alignment wrapText="1"/>
    </xf>
    <xf numFmtId="0" fontId="4" fillId="0" borderId="0" xfId="267" applyNumberFormat="1" applyFont="1" applyFill="1" applyAlignment="1" applyProtection="1">
      <alignment wrapText="1"/>
    </xf>
    <xf numFmtId="0" fontId="4" fillId="0" borderId="0" xfId="0" applyFont="1" applyAlignment="1" applyProtection="1">
      <alignment horizontal="center"/>
    </xf>
    <xf numFmtId="0" fontId="4" fillId="0" borderId="0" xfId="214" applyFont="1" applyBorder="1" applyAlignment="1">
      <alignment horizontal="center"/>
    </xf>
    <xf numFmtId="0" fontId="8" fillId="0" borderId="47" xfId="271" applyFont="1" applyBorder="1" applyAlignment="1">
      <alignment horizontal="center" wrapText="1"/>
    </xf>
    <xf numFmtId="0" fontId="8" fillId="0" borderId="13" xfId="271" applyFont="1" applyBorder="1" applyAlignment="1">
      <alignment horizontal="center" wrapText="1"/>
    </xf>
    <xf numFmtId="0" fontId="8" fillId="0" borderId="48" xfId="27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14" applyNumberFormat="1" applyFont="1" applyBorder="1" applyAlignment="1">
      <alignment horizontal="center"/>
    </xf>
    <xf numFmtId="0" fontId="4" fillId="0" borderId="0" xfId="0" applyFont="1" applyAlignment="1">
      <alignment horizontal="center"/>
    </xf>
    <xf numFmtId="0" fontId="39" fillId="0" borderId="0" xfId="26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14" quotePrefix="1" applyFont="1" applyBorder="1" applyAlignment="1">
      <alignment horizontal="center" wrapText="1"/>
    </xf>
    <xf numFmtId="41" fontId="23" fillId="30" borderId="34" xfId="261" applyNumberFormat="1" applyFont="1" applyFill="1" applyBorder="1" applyAlignment="1" applyProtection="1">
      <alignment horizontal="left" vertical="center" wrapText="1"/>
      <protection locked="0"/>
    </xf>
    <xf numFmtId="0" fontId="23" fillId="0" borderId="0" xfId="219" applyFont="1" applyAlignment="1">
      <alignment horizontal="center" wrapText="1"/>
    </xf>
    <xf numFmtId="0" fontId="23" fillId="0" borderId="0" xfId="218" applyFont="1" applyAlignment="1">
      <alignment horizontal="left" vertical="top" wrapText="1"/>
    </xf>
    <xf numFmtId="0" fontId="23" fillId="0" borderId="0" xfId="218" applyFont="1" applyFill="1" applyAlignment="1">
      <alignment horizontal="left" vertical="top" wrapText="1"/>
    </xf>
    <xf numFmtId="0" fontId="23" fillId="0" borderId="11" xfId="219" applyFont="1" applyBorder="1" applyAlignment="1">
      <alignment horizontal="center"/>
    </xf>
    <xf numFmtId="0" fontId="23" fillId="0" borderId="11" xfId="0" applyFont="1" applyBorder="1" applyAlignment="1">
      <alignment horizontal="center"/>
    </xf>
    <xf numFmtId="0" fontId="23" fillId="0" borderId="11" xfId="219" applyFont="1" applyBorder="1" applyAlignment="1">
      <alignment horizontal="center" wrapText="1"/>
    </xf>
    <xf numFmtId="0" fontId="24" fillId="0" borderId="0" xfId="219" applyFont="1" applyBorder="1" applyAlignment="1">
      <alignment horizontal="center" wrapText="1"/>
    </xf>
    <xf numFmtId="2" fontId="11" fillId="0" borderId="0" xfId="234" applyNumberFormat="1" applyFont="1" applyAlignment="1">
      <alignment horizontal="left" wrapText="1"/>
    </xf>
    <xf numFmtId="41" fontId="8" fillId="0" borderId="0" xfId="261" applyNumberFormat="1" applyFont="1" applyFill="1" applyBorder="1" applyAlignment="1" applyProtection="1">
      <alignment horizontal="center"/>
      <protection locked="0"/>
    </xf>
    <xf numFmtId="0" fontId="11" fillId="0" borderId="0" xfId="234" applyFont="1" applyAlignment="1">
      <alignment horizontal="center" wrapText="1"/>
    </xf>
    <xf numFmtId="0" fontId="11" fillId="0" borderId="0" xfId="234" applyFont="1" applyAlignment="1">
      <alignment vertical="center" wrapText="1"/>
    </xf>
    <xf numFmtId="0" fontId="11" fillId="0" borderId="0" xfId="234" applyFont="1" applyAlignment="1">
      <alignment horizontal="left" wrapText="1"/>
    </xf>
    <xf numFmtId="2" fontId="11" fillId="0" borderId="0" xfId="347" applyNumberFormat="1" applyFont="1" applyAlignment="1">
      <alignment horizontal="left" wrapText="1"/>
    </xf>
    <xf numFmtId="41" fontId="8" fillId="0" borderId="11" xfId="261" applyNumberFormat="1" applyFont="1" applyBorder="1" applyAlignment="1" applyProtection="1">
      <alignment horizontal="center"/>
      <protection locked="0"/>
    </xf>
    <xf numFmtId="172" fontId="11" fillId="0" borderId="0" xfId="347" applyFont="1" applyAlignment="1">
      <alignment horizontal="center" wrapText="1"/>
    </xf>
    <xf numFmtId="172" fontId="11" fillId="0" borderId="0" xfId="347" applyFont="1" applyAlignment="1">
      <alignment horizontal="left" wrapText="1"/>
    </xf>
    <xf numFmtId="172" fontId="11" fillId="0" borderId="0" xfId="347" applyFont="1" applyAlignment="1">
      <alignment horizontal="left" vertical="top" wrapText="1"/>
    </xf>
    <xf numFmtId="0" fontId="11" fillId="0" borderId="0" xfId="214" applyNumberFormat="1" applyFont="1" applyFill="1" applyBorder="1" applyAlignment="1">
      <alignment horizontal="left" wrapText="1"/>
    </xf>
    <xf numFmtId="0" fontId="80" fillId="0" borderId="0" xfId="214" applyNumberFormat="1" applyFont="1" applyFill="1" applyBorder="1" applyAlignment="1" applyProtection="1">
      <alignment horizontal="center"/>
    </xf>
    <xf numFmtId="0" fontId="4" fillId="0" borderId="0" xfId="214" applyFont="1" applyBorder="1" applyAlignment="1" applyProtection="1">
      <alignment horizontal="center"/>
    </xf>
    <xf numFmtId="3" fontId="4" fillId="0" borderId="0" xfId="0" applyNumberFormat="1" applyFont="1" applyAlignment="1" applyProtection="1">
      <alignment horizontal="center"/>
    </xf>
    <xf numFmtId="0" fontId="80" fillId="0" borderId="0" xfId="260" applyFont="1" applyFill="1" applyAlignment="1" applyProtection="1">
      <alignment horizontal="center"/>
    </xf>
    <xf numFmtId="0" fontId="16" fillId="0" borderId="0" xfId="260"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14"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67" applyFont="1" applyFill="1" applyAlignment="1" applyProtection="1">
      <alignment wrapText="1"/>
    </xf>
    <xf numFmtId="0" fontId="119" fillId="0" borderId="0" xfId="0" applyFont="1" applyAlignment="1" applyProtection="1">
      <alignment wrapText="1"/>
    </xf>
    <xf numFmtId="172" fontId="11" fillId="0" borderId="0" xfId="267" applyFont="1" applyFill="1" applyAlignment="1" applyProtection="1">
      <alignment horizontal="left" vertical="top" wrapText="1"/>
    </xf>
    <xf numFmtId="0" fontId="93" fillId="0" borderId="0" xfId="272" applyFont="1" applyFill="1" applyAlignment="1" applyProtection="1">
      <alignment wrapText="1"/>
    </xf>
    <xf numFmtId="3" fontId="3" fillId="0" borderId="0" xfId="0" applyNumberFormat="1" applyFont="1" applyAlignment="1" applyProtection="1">
      <alignment horizontal="center"/>
    </xf>
    <xf numFmtId="0" fontId="9" fillId="0" borderId="0" xfId="272" applyFont="1" applyFill="1" applyAlignment="1" applyProtection="1">
      <alignment horizontal="center"/>
    </xf>
    <xf numFmtId="3" fontId="3" fillId="0" borderId="0" xfId="0" applyNumberFormat="1" applyFont="1" applyAlignment="1">
      <alignment horizontal="center"/>
    </xf>
    <xf numFmtId="0" fontId="73" fillId="0" borderId="11" xfId="268" applyFont="1" applyBorder="1" applyAlignment="1" applyProtection="1">
      <alignment horizontal="center"/>
    </xf>
    <xf numFmtId="3" fontId="4" fillId="0" borderId="0" xfId="214" applyNumberFormat="1" applyFont="1" applyBorder="1" applyAlignment="1" applyProtection="1">
      <alignment horizontal="center"/>
    </xf>
    <xf numFmtId="0" fontId="70" fillId="0" borderId="0" xfId="268" applyFont="1" applyFill="1" applyAlignment="1">
      <alignment horizontal="left" wrapText="1"/>
    </xf>
    <xf numFmtId="0" fontId="0" fillId="0" borderId="0" xfId="0" applyAlignment="1"/>
    <xf numFmtId="0" fontId="70" fillId="0" borderId="0" xfId="26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14" applyFont="1" applyBorder="1" applyAlignment="1">
      <alignment horizontal="center"/>
    </xf>
    <xf numFmtId="0" fontId="3" fillId="0" borderId="0" xfId="0" applyFont="1" applyAlignment="1">
      <alignment horizontal="center"/>
    </xf>
    <xf numFmtId="0" fontId="153"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6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62" applyFont="1" applyFill="1" applyAlignment="1" applyProtection="1">
      <alignment horizontal="left" wrapText="1"/>
    </xf>
    <xf numFmtId="0" fontId="11" fillId="0" borderId="0" xfId="187" applyFont="1" applyFill="1" applyAlignment="1" applyProtection="1">
      <alignment wrapText="1"/>
    </xf>
    <xf numFmtId="0" fontId="111" fillId="0" borderId="0" xfId="262" applyFont="1" applyFill="1" applyAlignment="1" applyProtection="1">
      <alignment horizontal="left" wrapText="1"/>
    </xf>
    <xf numFmtId="0" fontId="62" fillId="0" borderId="0" xfId="168" applyFont="1" applyAlignment="1" applyProtection="1">
      <alignment horizontal="left" vertical="top" wrapText="1"/>
    </xf>
    <xf numFmtId="41" fontId="8" fillId="0" borderId="0" xfId="262" applyNumberFormat="1" applyFont="1" applyFill="1" applyBorder="1" applyAlignment="1" applyProtection="1">
      <alignment horizontal="center" wrapText="1"/>
    </xf>
    <xf numFmtId="0" fontId="4" fillId="0" borderId="0" xfId="168" applyFont="1" applyAlignment="1" applyProtection="1">
      <alignment horizontal="center"/>
    </xf>
    <xf numFmtId="0" fontId="8" fillId="0" borderId="47" xfId="168" applyFont="1" applyBorder="1" applyAlignment="1">
      <alignment horizontal="center"/>
    </xf>
    <xf numFmtId="0" fontId="8" fillId="0" borderId="13" xfId="168" applyFont="1" applyBorder="1" applyAlignment="1">
      <alignment horizontal="center"/>
    </xf>
    <xf numFmtId="0" fontId="8" fillId="0" borderId="48" xfId="168" applyFont="1" applyBorder="1" applyAlignment="1">
      <alignment horizontal="center"/>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14" applyFont="1" applyBorder="1" applyAlignment="1" applyProtection="1">
      <alignment horizontal="center"/>
    </xf>
    <xf numFmtId="3" fontId="139" fillId="0" borderId="0" xfId="214" applyNumberFormat="1" applyFont="1" applyAlignment="1" applyProtection="1">
      <alignment horizontal="center"/>
    </xf>
    <xf numFmtId="0" fontId="5" fillId="0" borderId="0" xfId="270" applyFont="1" applyAlignment="1" applyProtection="1">
      <alignment horizontal="left" wrapText="1"/>
    </xf>
    <xf numFmtId="0" fontId="4" fillId="0" borderId="0" xfId="270" applyFont="1" applyAlignment="1" applyProtection="1">
      <alignment horizontal="left" wrapText="1"/>
    </xf>
    <xf numFmtId="0" fontId="101" fillId="0" borderId="0" xfId="270" applyFont="1" applyAlignment="1" applyProtection="1">
      <alignment horizontal="center"/>
    </xf>
    <xf numFmtId="0" fontId="101" fillId="0" borderId="0" xfId="270" applyFont="1" applyFill="1" applyAlignment="1" applyProtection="1">
      <alignment horizontal="center"/>
    </xf>
    <xf numFmtId="3" fontId="101" fillId="0" borderId="0" xfId="270" applyNumberFormat="1" applyFont="1" applyAlignment="1" applyProtection="1">
      <alignment horizontal="center"/>
    </xf>
    <xf numFmtId="0" fontId="76" fillId="0" borderId="11" xfId="270" applyFont="1" applyFill="1" applyBorder="1" applyAlignment="1" applyProtection="1">
      <alignment wrapText="1"/>
    </xf>
    <xf numFmtId="0" fontId="0" fillId="0" borderId="11" xfId="0" applyFill="1" applyBorder="1" applyAlignment="1" applyProtection="1">
      <alignment wrapText="1"/>
    </xf>
    <xf numFmtId="0" fontId="11" fillId="0" borderId="0" xfId="260" applyFont="1" applyFill="1" applyAlignment="1" applyProtection="1">
      <alignment horizontal="left" vertical="top" wrapText="1"/>
    </xf>
    <xf numFmtId="0" fontId="8" fillId="0" borderId="0" xfId="274" applyFont="1" applyAlignment="1" applyProtection="1">
      <alignment horizontal="center"/>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left" wrapText="1"/>
    </xf>
  </cellXfs>
  <cellStyles count="35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0] 2" xfId="87" xr:uid="{00000000-0005-0000-0000-000056000000}"/>
    <cellStyle name="Comma 12" xfId="348" xr:uid="{00000000-0005-0000-0000-000057000000}"/>
    <cellStyle name="Comma 12 2" xfId="88" xr:uid="{00000000-0005-0000-0000-000058000000}"/>
    <cellStyle name="Comma 2" xfId="89" xr:uid="{00000000-0005-0000-0000-000059000000}"/>
    <cellStyle name="Comma 2 2" xfId="90" xr:uid="{00000000-0005-0000-0000-00005A000000}"/>
    <cellStyle name="Comma 2 3" xfId="91" xr:uid="{00000000-0005-0000-0000-00005B000000}"/>
    <cellStyle name="Comma 3" xfId="92" xr:uid="{00000000-0005-0000-0000-00005C000000}"/>
    <cellStyle name="Comma 3 2" xfId="93" xr:uid="{00000000-0005-0000-0000-00005D000000}"/>
    <cellStyle name="Comma 3 3" xfId="94" xr:uid="{00000000-0005-0000-0000-00005E000000}"/>
    <cellStyle name="Comma 3 3 2" xfId="95" xr:uid="{00000000-0005-0000-0000-00005F000000}"/>
    <cellStyle name="Comma 3 3 3" xfId="96" xr:uid="{00000000-0005-0000-0000-000060000000}"/>
    <cellStyle name="Comma 3 4" xfId="97" xr:uid="{00000000-0005-0000-0000-000061000000}"/>
    <cellStyle name="Comma 3 4 2" xfId="98" xr:uid="{00000000-0005-0000-0000-000062000000}"/>
    <cellStyle name="Comma 3 4 3" xfId="99" xr:uid="{00000000-0005-0000-0000-000063000000}"/>
    <cellStyle name="Comma 3 5" xfId="100" xr:uid="{00000000-0005-0000-0000-000064000000}"/>
    <cellStyle name="Comma 3 5 2" xfId="101" xr:uid="{00000000-0005-0000-0000-000065000000}"/>
    <cellStyle name="Comma 3 6" xfId="102" xr:uid="{00000000-0005-0000-0000-000066000000}"/>
    <cellStyle name="Comma 3 7" xfId="103" xr:uid="{00000000-0005-0000-0000-000067000000}"/>
    <cellStyle name="Comma 3 8" xfId="104" xr:uid="{00000000-0005-0000-0000-000068000000}"/>
    <cellStyle name="Comma 3 9" xfId="105" xr:uid="{00000000-0005-0000-0000-000069000000}"/>
    <cellStyle name="Comma 4" xfId="106" xr:uid="{00000000-0005-0000-0000-00006A000000}"/>
    <cellStyle name="Comma 4 2" xfId="107" xr:uid="{00000000-0005-0000-0000-00006B000000}"/>
    <cellStyle name="Comma 4 2 2" xfId="108" xr:uid="{00000000-0005-0000-0000-00006C000000}"/>
    <cellStyle name="Comma 4 3" xfId="109" xr:uid="{00000000-0005-0000-0000-00006D000000}"/>
    <cellStyle name="Comma 5 2" xfId="110" xr:uid="{00000000-0005-0000-0000-00006E000000}"/>
    <cellStyle name="Comma 6" xfId="111" xr:uid="{00000000-0005-0000-0000-00006F000000}"/>
    <cellStyle name="Comma 6 2" xfId="112" xr:uid="{00000000-0005-0000-0000-000070000000}"/>
    <cellStyle name="Comma 6 2 2" xfId="113" xr:uid="{00000000-0005-0000-0000-000071000000}"/>
    <cellStyle name="Comma 6 3" xfId="114" xr:uid="{00000000-0005-0000-0000-000072000000}"/>
    <cellStyle name="Comma 7" xfId="115" xr:uid="{00000000-0005-0000-0000-000073000000}"/>
    <cellStyle name="Comma 8" xfId="116" xr:uid="{00000000-0005-0000-0000-000074000000}"/>
    <cellStyle name="Comma 9" xfId="117" xr:uid="{00000000-0005-0000-0000-000075000000}"/>
    <cellStyle name="Comma_spp calc - revsd rev crd" xfId="118" xr:uid="{00000000-0005-0000-0000-000076000000}"/>
    <cellStyle name="Comma_spp calc - revsd rev crd 2" xfId="119" xr:uid="{00000000-0005-0000-0000-000077000000}"/>
    <cellStyle name="Comma0" xfId="120" xr:uid="{00000000-0005-0000-0000-000078000000}"/>
    <cellStyle name="Currency" xfId="121" builtinId="4"/>
    <cellStyle name="Currency 2" xfId="122" xr:uid="{00000000-0005-0000-0000-00007A000000}"/>
    <cellStyle name="Currency 2 2" xfId="123" xr:uid="{00000000-0005-0000-0000-00007B000000}"/>
    <cellStyle name="Currency 3" xfId="124" xr:uid="{00000000-0005-0000-0000-00007C000000}"/>
    <cellStyle name="Currency 3 2" xfId="125" xr:uid="{00000000-0005-0000-0000-00007D000000}"/>
    <cellStyle name="Currency 3 3" xfId="126" xr:uid="{00000000-0005-0000-0000-00007E000000}"/>
    <cellStyle name="Currency 3 3 2" xfId="127" xr:uid="{00000000-0005-0000-0000-00007F000000}"/>
    <cellStyle name="Currency 3 3 3" xfId="128" xr:uid="{00000000-0005-0000-0000-000080000000}"/>
    <cellStyle name="Currency 3 4" xfId="129" xr:uid="{00000000-0005-0000-0000-000081000000}"/>
    <cellStyle name="Currency 3 4 2" xfId="130" xr:uid="{00000000-0005-0000-0000-000082000000}"/>
    <cellStyle name="Currency 3 4 3" xfId="131" xr:uid="{00000000-0005-0000-0000-000083000000}"/>
    <cellStyle name="Currency 3 5" xfId="132" xr:uid="{00000000-0005-0000-0000-000084000000}"/>
    <cellStyle name="Currency 3 5 2" xfId="133" xr:uid="{00000000-0005-0000-0000-000085000000}"/>
    <cellStyle name="Currency 3 6" xfId="134" xr:uid="{00000000-0005-0000-0000-000086000000}"/>
    <cellStyle name="Currency 4 2" xfId="135" xr:uid="{00000000-0005-0000-0000-000087000000}"/>
    <cellStyle name="Currency 4 2 2" xfId="136" xr:uid="{00000000-0005-0000-0000-000088000000}"/>
    <cellStyle name="Currency 4 3" xfId="137" xr:uid="{00000000-0005-0000-0000-000089000000}"/>
    <cellStyle name="Currency 5 2" xfId="138" xr:uid="{00000000-0005-0000-0000-00008A000000}"/>
    <cellStyle name="Currency 6" xfId="139" xr:uid="{00000000-0005-0000-0000-00008B000000}"/>
    <cellStyle name="Currency0" xfId="140" xr:uid="{00000000-0005-0000-0000-00008C000000}"/>
    <cellStyle name="Date" xfId="141" xr:uid="{00000000-0005-0000-0000-00008D000000}"/>
    <cellStyle name="Explanatory Text" xfId="142" builtinId="53" customBuiltin="1"/>
    <cellStyle name="Explanatory Text 2" xfId="143" xr:uid="{00000000-0005-0000-0000-00008F000000}"/>
    <cellStyle name="Fixed" xfId="144" xr:uid="{00000000-0005-0000-0000-000090000000}"/>
    <cellStyle name="Good" xfId="145" builtinId="26" customBuiltin="1"/>
    <cellStyle name="Good 2" xfId="146" xr:uid="{00000000-0005-0000-0000-000092000000}"/>
    <cellStyle name="Heading 1" xfId="147" builtinId="16" customBuiltin="1"/>
    <cellStyle name="Heading 1 2" xfId="148" xr:uid="{00000000-0005-0000-0000-000094000000}"/>
    <cellStyle name="Heading 2" xfId="149" builtinId="17" customBuiltin="1"/>
    <cellStyle name="Heading 2 2" xfId="150" xr:uid="{00000000-0005-0000-0000-000096000000}"/>
    <cellStyle name="Heading 3" xfId="151" builtinId="18" customBuiltin="1"/>
    <cellStyle name="Heading 3 2" xfId="152" xr:uid="{00000000-0005-0000-0000-000098000000}"/>
    <cellStyle name="Heading 4" xfId="153" builtinId="19" customBuiltin="1"/>
    <cellStyle name="Heading 4 2" xfId="154" xr:uid="{00000000-0005-0000-0000-00009A000000}"/>
    <cellStyle name="Heading1" xfId="155" xr:uid="{00000000-0005-0000-0000-00009B000000}"/>
    <cellStyle name="Heading2" xfId="156" xr:uid="{00000000-0005-0000-0000-00009C000000}"/>
    <cellStyle name="Input" xfId="157" builtinId="20" customBuiltin="1"/>
    <cellStyle name="Input 2" xfId="158" xr:uid="{00000000-0005-0000-0000-00009E000000}"/>
    <cellStyle name="Linked Cell" xfId="159" builtinId="24" customBuiltin="1"/>
    <cellStyle name="Linked Cell 2" xfId="160" xr:uid="{00000000-0005-0000-0000-0000A0000000}"/>
    <cellStyle name="Neutral" xfId="161" builtinId="28" customBuiltin="1"/>
    <cellStyle name="Neutral 2" xfId="162" xr:uid="{00000000-0005-0000-0000-0000A2000000}"/>
    <cellStyle name="Normal" xfId="0" builtinId="0"/>
    <cellStyle name="Normal 10" xfId="163" xr:uid="{00000000-0005-0000-0000-0000A4000000}"/>
    <cellStyle name="Normal 10 2" xfId="164" xr:uid="{00000000-0005-0000-0000-0000A5000000}"/>
    <cellStyle name="Normal 10 3" xfId="165" xr:uid="{00000000-0005-0000-0000-0000A6000000}"/>
    <cellStyle name="Normal 10 4" xfId="166" xr:uid="{00000000-0005-0000-0000-0000A7000000}"/>
    <cellStyle name="Normal 11" xfId="167" xr:uid="{00000000-0005-0000-0000-0000A8000000}"/>
    <cellStyle name="Normal 11 2" xfId="168" xr:uid="{00000000-0005-0000-0000-0000A9000000}"/>
    <cellStyle name="Normal 11 3" xfId="169" xr:uid="{00000000-0005-0000-0000-0000AA000000}"/>
    <cellStyle name="Normal 11 4" xfId="170" xr:uid="{00000000-0005-0000-0000-0000AB000000}"/>
    <cellStyle name="Normal 12" xfId="171" xr:uid="{00000000-0005-0000-0000-0000AC000000}"/>
    <cellStyle name="Normal 12 2" xfId="172" xr:uid="{00000000-0005-0000-0000-0000AD000000}"/>
    <cellStyle name="Normal 12 4" xfId="173" xr:uid="{00000000-0005-0000-0000-0000AE000000}"/>
    <cellStyle name="Normal 13" xfId="174" xr:uid="{00000000-0005-0000-0000-0000AF000000}"/>
    <cellStyle name="Normal 13 2" xfId="175" xr:uid="{00000000-0005-0000-0000-0000B0000000}"/>
    <cellStyle name="Normal 14" xfId="176" xr:uid="{00000000-0005-0000-0000-0000B1000000}"/>
    <cellStyle name="Normal 14 2" xfId="177" xr:uid="{00000000-0005-0000-0000-0000B2000000}"/>
    <cellStyle name="Normal 15" xfId="178" xr:uid="{00000000-0005-0000-0000-0000B3000000}"/>
    <cellStyle name="Normal 16" xfId="179" xr:uid="{00000000-0005-0000-0000-0000B4000000}"/>
    <cellStyle name="Normal 16 2" xfId="180" xr:uid="{00000000-0005-0000-0000-0000B5000000}"/>
    <cellStyle name="Normal 17" xfId="181" xr:uid="{00000000-0005-0000-0000-0000B6000000}"/>
    <cellStyle name="Normal 17 2" xfId="182" xr:uid="{00000000-0005-0000-0000-0000B7000000}"/>
    <cellStyle name="Normal 18" xfId="183" xr:uid="{00000000-0005-0000-0000-0000B8000000}"/>
    <cellStyle name="Normal 18 2" xfId="184" xr:uid="{00000000-0005-0000-0000-0000B9000000}"/>
    <cellStyle name="Normal 19" xfId="185" xr:uid="{00000000-0005-0000-0000-0000BA000000}"/>
    <cellStyle name="Normal 19 2" xfId="186" xr:uid="{00000000-0005-0000-0000-0000BB000000}"/>
    <cellStyle name="Normal 2" xfId="187" xr:uid="{00000000-0005-0000-0000-0000BC000000}"/>
    <cellStyle name="Normal 2 2" xfId="188" xr:uid="{00000000-0005-0000-0000-0000BD000000}"/>
    <cellStyle name="Normal 2 2 2" xfId="189" xr:uid="{00000000-0005-0000-0000-0000BE000000}"/>
    <cellStyle name="Normal 2 2 3" xfId="190" xr:uid="{00000000-0005-0000-0000-0000BF000000}"/>
    <cellStyle name="Normal 2 2 4" xfId="191" xr:uid="{00000000-0005-0000-0000-0000C0000000}"/>
    <cellStyle name="Normal 2 3" xfId="192" xr:uid="{00000000-0005-0000-0000-0000C1000000}"/>
    <cellStyle name="Normal 2 4" xfId="193" xr:uid="{00000000-0005-0000-0000-0000C2000000}"/>
    <cellStyle name="Normal 2 5" xfId="194" xr:uid="{00000000-0005-0000-0000-0000C3000000}"/>
    <cellStyle name="Normal 2 5 2" xfId="195" xr:uid="{00000000-0005-0000-0000-0000C4000000}"/>
    <cellStyle name="Normal 20" xfId="196" xr:uid="{00000000-0005-0000-0000-0000C5000000}"/>
    <cellStyle name="Normal 20 2" xfId="197" xr:uid="{00000000-0005-0000-0000-0000C6000000}"/>
    <cellStyle name="Normal 21" xfId="198" xr:uid="{00000000-0005-0000-0000-0000C7000000}"/>
    <cellStyle name="Normal 21 2" xfId="199" xr:uid="{00000000-0005-0000-0000-0000C8000000}"/>
    <cellStyle name="Normal 22" xfId="200" xr:uid="{00000000-0005-0000-0000-0000C9000000}"/>
    <cellStyle name="Normal 22 2" xfId="201" xr:uid="{00000000-0005-0000-0000-0000CA000000}"/>
    <cellStyle name="Normal 23" xfId="202" xr:uid="{00000000-0005-0000-0000-0000CB000000}"/>
    <cellStyle name="Normal 23 2" xfId="203" xr:uid="{00000000-0005-0000-0000-0000CC000000}"/>
    <cellStyle name="Normal 24" xfId="204" xr:uid="{00000000-0005-0000-0000-0000CD000000}"/>
    <cellStyle name="Normal 24 2" xfId="205" xr:uid="{00000000-0005-0000-0000-0000CE000000}"/>
    <cellStyle name="Normal 25" xfId="206" xr:uid="{00000000-0005-0000-0000-0000CF000000}"/>
    <cellStyle name="Normal 25 2" xfId="207" xr:uid="{00000000-0005-0000-0000-0000D0000000}"/>
    <cellStyle name="Normal 26" xfId="208" xr:uid="{00000000-0005-0000-0000-0000D1000000}"/>
    <cellStyle name="Normal 26 2" xfId="209" xr:uid="{00000000-0005-0000-0000-0000D2000000}"/>
    <cellStyle name="Normal 27" xfId="210" xr:uid="{00000000-0005-0000-0000-0000D3000000}"/>
    <cellStyle name="Normal 28" xfId="211" xr:uid="{00000000-0005-0000-0000-0000D4000000}"/>
    <cellStyle name="Normal 29" xfId="212" xr:uid="{00000000-0005-0000-0000-0000D5000000}"/>
    <cellStyle name="Normal 3" xfId="213" xr:uid="{00000000-0005-0000-0000-0000D6000000}"/>
    <cellStyle name="Normal 3 2" xfId="214" xr:uid="{00000000-0005-0000-0000-0000D7000000}"/>
    <cellStyle name="Normal 3 3" xfId="215" xr:uid="{00000000-0005-0000-0000-0000D8000000}"/>
    <cellStyle name="Normal 3 4" xfId="216" xr:uid="{00000000-0005-0000-0000-0000D9000000}"/>
    <cellStyle name="Normal 3_Attach O, GG, Support -New Method 2-14-11" xfId="217" xr:uid="{00000000-0005-0000-0000-0000DA000000}"/>
    <cellStyle name="Normal 31" xfId="218" xr:uid="{00000000-0005-0000-0000-0000DB000000}"/>
    <cellStyle name="Normal 31 2" xfId="219" xr:uid="{00000000-0005-0000-0000-0000DC000000}"/>
    <cellStyle name="Normal 33" xfId="347" xr:uid="{00000000-0005-0000-0000-0000DD000000}"/>
    <cellStyle name="Normal 4" xfId="220" xr:uid="{00000000-0005-0000-0000-0000DE000000}"/>
    <cellStyle name="Normal 4 2" xfId="221" xr:uid="{00000000-0005-0000-0000-0000DF000000}"/>
    <cellStyle name="Normal 4 3" xfId="222" xr:uid="{00000000-0005-0000-0000-0000E0000000}"/>
    <cellStyle name="Normal 4 3 2" xfId="223" xr:uid="{00000000-0005-0000-0000-0000E1000000}"/>
    <cellStyle name="Normal 4 3 3" xfId="224" xr:uid="{00000000-0005-0000-0000-0000E2000000}"/>
    <cellStyle name="Normal 4 4" xfId="225" xr:uid="{00000000-0005-0000-0000-0000E3000000}"/>
    <cellStyle name="Normal 4 4 2" xfId="226" xr:uid="{00000000-0005-0000-0000-0000E4000000}"/>
    <cellStyle name="Normal 4 4 3" xfId="227" xr:uid="{00000000-0005-0000-0000-0000E5000000}"/>
    <cellStyle name="Normal 4 5" xfId="228" xr:uid="{00000000-0005-0000-0000-0000E6000000}"/>
    <cellStyle name="Normal 4 5 2" xfId="229" xr:uid="{00000000-0005-0000-0000-0000E7000000}"/>
    <cellStyle name="Normal 4 6" xfId="230" xr:uid="{00000000-0005-0000-0000-0000E8000000}"/>
    <cellStyle name="Normal 4 7" xfId="231" xr:uid="{00000000-0005-0000-0000-0000E9000000}"/>
    <cellStyle name="Normal 4 8" xfId="232" xr:uid="{00000000-0005-0000-0000-0000EA000000}"/>
    <cellStyle name="Normal 4_PBOP Exhibit 1" xfId="233" xr:uid="{00000000-0005-0000-0000-0000EB000000}"/>
    <cellStyle name="Normal 5" xfId="234" xr:uid="{00000000-0005-0000-0000-0000EC000000}"/>
    <cellStyle name="Normal 5 2" xfId="235" xr:uid="{00000000-0005-0000-0000-0000ED000000}"/>
    <cellStyle name="Normal 5 2 2" xfId="236" xr:uid="{00000000-0005-0000-0000-0000EE000000}"/>
    <cellStyle name="Normal 5 2 3" xfId="237" xr:uid="{00000000-0005-0000-0000-0000EF000000}"/>
    <cellStyle name="Normal 5 3" xfId="238" xr:uid="{00000000-0005-0000-0000-0000F0000000}"/>
    <cellStyle name="Normal 5 4" xfId="239" xr:uid="{00000000-0005-0000-0000-0000F1000000}"/>
    <cellStyle name="Normal 5 4 2" xfId="240" xr:uid="{00000000-0005-0000-0000-0000F2000000}"/>
    <cellStyle name="Normal 5 5" xfId="241" xr:uid="{00000000-0005-0000-0000-0000F3000000}"/>
    <cellStyle name="Normal 6 2" xfId="242" xr:uid="{00000000-0005-0000-0000-0000F4000000}"/>
    <cellStyle name="Normal 6 2 2" xfId="243" xr:uid="{00000000-0005-0000-0000-0000F5000000}"/>
    <cellStyle name="Normal 6 2 3" xfId="244" xr:uid="{00000000-0005-0000-0000-0000F6000000}"/>
    <cellStyle name="Normal 6 2 4" xfId="245" xr:uid="{00000000-0005-0000-0000-0000F7000000}"/>
    <cellStyle name="Normal 6 3" xfId="246" xr:uid="{00000000-0005-0000-0000-0000F8000000}"/>
    <cellStyle name="Normal 6 3 2" xfId="247" xr:uid="{00000000-0005-0000-0000-0000F9000000}"/>
    <cellStyle name="Normal 6 4" xfId="248" xr:uid="{00000000-0005-0000-0000-0000FA000000}"/>
    <cellStyle name="Normal 6 5" xfId="249" xr:uid="{00000000-0005-0000-0000-0000FB000000}"/>
    <cellStyle name="Normal 7" xfId="250" xr:uid="{00000000-0005-0000-0000-0000FC000000}"/>
    <cellStyle name="Normal 7 2" xfId="251" xr:uid="{00000000-0005-0000-0000-0000FD000000}"/>
    <cellStyle name="Normal 7 3" xfId="252" xr:uid="{00000000-0005-0000-0000-0000FE000000}"/>
    <cellStyle name="Normal 8" xfId="253" xr:uid="{00000000-0005-0000-0000-0000FF000000}"/>
    <cellStyle name="Normal 8 2" xfId="254" xr:uid="{00000000-0005-0000-0000-000000010000}"/>
    <cellStyle name="Normal 8 3" xfId="255" xr:uid="{00000000-0005-0000-0000-000001010000}"/>
    <cellStyle name="Normal 9" xfId="256" xr:uid="{00000000-0005-0000-0000-000002010000}"/>
    <cellStyle name="Normal 9 2" xfId="257" xr:uid="{00000000-0005-0000-0000-000003010000}"/>
    <cellStyle name="Normal 9 3" xfId="258" xr:uid="{00000000-0005-0000-0000-000004010000}"/>
    <cellStyle name="Normal_21 Exh B" xfId="259" xr:uid="{00000000-0005-0000-0000-000005010000}"/>
    <cellStyle name="Normal_ADITAnalysisID090805" xfId="260" xr:uid="{00000000-0005-0000-0000-000006010000}"/>
    <cellStyle name="Normal_ADITAnalysisID090805 2" xfId="261" xr:uid="{00000000-0005-0000-0000-000007010000}"/>
    <cellStyle name="Normal_ADITAnalysisID090805 2 2" xfId="262" xr:uid="{00000000-0005-0000-0000-000008010000}"/>
    <cellStyle name="Normal_ADITAnalysisID090805 3" xfId="263" xr:uid="{00000000-0005-0000-0000-000009010000}"/>
    <cellStyle name="Normal_ATC Projected 2008 Monthly Plant Balances for Attachment O 2 (2)" xfId="264" xr:uid="{00000000-0005-0000-0000-00000A010000}"/>
    <cellStyle name="Normal_AU Period 2 Rev 4-27-00" xfId="265" xr:uid="{00000000-0005-0000-0000-00000B010000}"/>
    <cellStyle name="Normal_Copy of PATH Formula Rate 2010 Projection Filed Sept 1, 2009 R1" xfId="266" xr:uid="{00000000-0005-0000-0000-00000C010000}"/>
    <cellStyle name="Normal_FN1 Ratebase Draft SPP template (6-11-04) v2" xfId="267" xr:uid="{00000000-0005-0000-0000-00000D010000}"/>
    <cellStyle name="Normal_I&amp;M-AK-1" xfId="268" xr:uid="{00000000-0005-0000-0000-00000E010000}"/>
    <cellStyle name="Normal_IM LTD Hedge Entries 2" xfId="269" xr:uid="{00000000-0005-0000-0000-00000F010000}"/>
    <cellStyle name="Normal_Revised 1-21-10  Deprec Summary" xfId="270" xr:uid="{00000000-0005-0000-0000-000010010000}"/>
    <cellStyle name="Normal_Schedule O Info for Mike" xfId="271" xr:uid="{00000000-0005-0000-0000-000011010000}"/>
    <cellStyle name="Normal_spp calc - revsd rev crd" xfId="272" xr:uid="{00000000-0005-0000-0000-000012010000}"/>
    <cellStyle name="Normal_spp calc - revsd rev crd 2" xfId="273" xr:uid="{00000000-0005-0000-0000-000013010000}"/>
    <cellStyle name="Normal_Worksheet Q Draft dwb edits" xfId="274" xr:uid="{00000000-0005-0000-0000-000014010000}"/>
    <cellStyle name="Note" xfId="275" builtinId="10" customBuiltin="1"/>
    <cellStyle name="Note 2" xfId="276" xr:uid="{00000000-0005-0000-0000-000016010000}"/>
    <cellStyle name="Output" xfId="277" builtinId="21" customBuiltin="1"/>
    <cellStyle name="Output 2" xfId="278" xr:uid="{00000000-0005-0000-0000-000018010000}"/>
    <cellStyle name="Percent" xfId="279" builtinId="5"/>
    <cellStyle name="Percent 12" xfId="349" xr:uid="{00000000-0005-0000-0000-00001A010000}"/>
    <cellStyle name="Percent 2" xfId="280" xr:uid="{00000000-0005-0000-0000-00001B010000}"/>
    <cellStyle name="Percent 2 2" xfId="281" xr:uid="{00000000-0005-0000-0000-00001C010000}"/>
    <cellStyle name="Percent 2 3" xfId="282" xr:uid="{00000000-0005-0000-0000-00001D010000}"/>
    <cellStyle name="Percent 3" xfId="283" xr:uid="{00000000-0005-0000-0000-00001E010000}"/>
    <cellStyle name="Percent 3 2" xfId="284" xr:uid="{00000000-0005-0000-0000-00001F010000}"/>
    <cellStyle name="Percent 3 3" xfId="285" xr:uid="{00000000-0005-0000-0000-000020010000}"/>
    <cellStyle name="Percent 3 3 2" xfId="286" xr:uid="{00000000-0005-0000-0000-000021010000}"/>
    <cellStyle name="Percent 3 3 3" xfId="287" xr:uid="{00000000-0005-0000-0000-000022010000}"/>
    <cellStyle name="Percent 3 4" xfId="288" xr:uid="{00000000-0005-0000-0000-000023010000}"/>
    <cellStyle name="Percent 3 4 2" xfId="289" xr:uid="{00000000-0005-0000-0000-000024010000}"/>
    <cellStyle name="Percent 3 4 3" xfId="290" xr:uid="{00000000-0005-0000-0000-000025010000}"/>
    <cellStyle name="Percent 3 5" xfId="291" xr:uid="{00000000-0005-0000-0000-000026010000}"/>
    <cellStyle name="Percent 3 5 2" xfId="292" xr:uid="{00000000-0005-0000-0000-000027010000}"/>
    <cellStyle name="Percent 3 6" xfId="293" xr:uid="{00000000-0005-0000-0000-000028010000}"/>
    <cellStyle name="Percent 3 7" xfId="294" xr:uid="{00000000-0005-0000-0000-000029010000}"/>
    <cellStyle name="Percent 4" xfId="295" xr:uid="{00000000-0005-0000-0000-00002A010000}"/>
    <cellStyle name="Percent 4 2" xfId="296" xr:uid="{00000000-0005-0000-0000-00002B010000}"/>
    <cellStyle name="Percent 4 3" xfId="297" xr:uid="{00000000-0005-0000-0000-00002C010000}"/>
    <cellStyle name="Percent 4 3 2" xfId="298" xr:uid="{00000000-0005-0000-0000-00002D010000}"/>
    <cellStyle name="Percent 4 4" xfId="299" xr:uid="{00000000-0005-0000-0000-00002E010000}"/>
    <cellStyle name="Percent 5 2" xfId="300" xr:uid="{00000000-0005-0000-0000-00002F010000}"/>
    <cellStyle name="Percent 6" xfId="301" xr:uid="{00000000-0005-0000-0000-000030010000}"/>
    <cellStyle name="PSChar" xfId="302" xr:uid="{00000000-0005-0000-0000-000031010000}"/>
    <cellStyle name="PSDate" xfId="303" xr:uid="{00000000-0005-0000-0000-000032010000}"/>
    <cellStyle name="PSDec" xfId="304" xr:uid="{00000000-0005-0000-0000-000033010000}"/>
    <cellStyle name="PSdesc" xfId="305" xr:uid="{00000000-0005-0000-0000-000034010000}"/>
    <cellStyle name="PSHeading" xfId="306" xr:uid="{00000000-0005-0000-0000-000035010000}"/>
    <cellStyle name="PSInt" xfId="307" xr:uid="{00000000-0005-0000-0000-000036010000}"/>
    <cellStyle name="PSSpacer" xfId="308" xr:uid="{00000000-0005-0000-0000-000037010000}"/>
    <cellStyle name="PStest" xfId="309" xr:uid="{00000000-0005-0000-0000-000038010000}"/>
    <cellStyle name="R00A" xfId="310" xr:uid="{00000000-0005-0000-0000-000039010000}"/>
    <cellStyle name="R00B" xfId="311" xr:uid="{00000000-0005-0000-0000-00003A010000}"/>
    <cellStyle name="R00L" xfId="312" xr:uid="{00000000-0005-0000-0000-00003B010000}"/>
    <cellStyle name="R01A" xfId="313" xr:uid="{00000000-0005-0000-0000-00003C010000}"/>
    <cellStyle name="R01B" xfId="314" xr:uid="{00000000-0005-0000-0000-00003D010000}"/>
    <cellStyle name="R01H" xfId="315" xr:uid="{00000000-0005-0000-0000-00003E010000}"/>
    <cellStyle name="R01L" xfId="316" xr:uid="{00000000-0005-0000-0000-00003F010000}"/>
    <cellStyle name="R02A" xfId="317" xr:uid="{00000000-0005-0000-0000-000040010000}"/>
    <cellStyle name="R02B" xfId="318" xr:uid="{00000000-0005-0000-0000-000041010000}"/>
    <cellStyle name="R02H" xfId="319" xr:uid="{00000000-0005-0000-0000-000042010000}"/>
    <cellStyle name="R02L" xfId="320" xr:uid="{00000000-0005-0000-0000-000043010000}"/>
    <cellStyle name="R03A" xfId="321" xr:uid="{00000000-0005-0000-0000-000044010000}"/>
    <cellStyle name="R03B" xfId="322" xr:uid="{00000000-0005-0000-0000-000045010000}"/>
    <cellStyle name="R03H" xfId="323" xr:uid="{00000000-0005-0000-0000-000046010000}"/>
    <cellStyle name="R03L" xfId="324" xr:uid="{00000000-0005-0000-0000-000047010000}"/>
    <cellStyle name="R04A" xfId="325" xr:uid="{00000000-0005-0000-0000-000048010000}"/>
    <cellStyle name="R04B" xfId="326" xr:uid="{00000000-0005-0000-0000-000049010000}"/>
    <cellStyle name="R04H" xfId="327" xr:uid="{00000000-0005-0000-0000-00004A010000}"/>
    <cellStyle name="R04L" xfId="328" xr:uid="{00000000-0005-0000-0000-00004B010000}"/>
    <cellStyle name="R05A" xfId="329" xr:uid="{00000000-0005-0000-0000-00004C010000}"/>
    <cellStyle name="R05B" xfId="330" xr:uid="{00000000-0005-0000-0000-00004D010000}"/>
    <cellStyle name="R05H" xfId="331" xr:uid="{00000000-0005-0000-0000-00004E010000}"/>
    <cellStyle name="R05L" xfId="332" xr:uid="{00000000-0005-0000-0000-00004F010000}"/>
    <cellStyle name="R06A" xfId="333" xr:uid="{00000000-0005-0000-0000-000050010000}"/>
    <cellStyle name="R06B" xfId="334" xr:uid="{00000000-0005-0000-0000-000051010000}"/>
    <cellStyle name="R06H" xfId="335" xr:uid="{00000000-0005-0000-0000-000052010000}"/>
    <cellStyle name="R06L" xfId="336" xr:uid="{00000000-0005-0000-0000-000053010000}"/>
    <cellStyle name="R07A" xfId="337" xr:uid="{00000000-0005-0000-0000-000054010000}"/>
    <cellStyle name="R07B" xfId="338" xr:uid="{00000000-0005-0000-0000-000055010000}"/>
    <cellStyle name="R07H" xfId="339" xr:uid="{00000000-0005-0000-0000-000056010000}"/>
    <cellStyle name="R07L" xfId="340" xr:uid="{00000000-0005-0000-0000-000057010000}"/>
    <cellStyle name="Title" xfId="341" builtinId="15" customBuiltin="1"/>
    <cellStyle name="Title 2" xfId="342" xr:uid="{00000000-0005-0000-0000-000059010000}"/>
    <cellStyle name="Total" xfId="343" builtinId="25" customBuiltin="1"/>
    <cellStyle name="Total 2" xfId="344" xr:uid="{00000000-0005-0000-0000-00005B010000}"/>
    <cellStyle name="Warning Text" xfId="345" builtinId="11" customBuiltin="1"/>
    <cellStyle name="Warning Text 2" xfId="346" xr:uid="{00000000-0005-0000-0000-00005D010000}"/>
  </cellStyles>
  <dxfs count="2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zoomScale="70" zoomScaleNormal="70" zoomScalePageLayoutView="50" workbookViewId="0">
      <selection activeCell="D7" sqref="D7"/>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2.140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8" t="s">
        <v>408</v>
      </c>
    </row>
    <row r="2" spans="1:16" ht="15.75">
      <c r="A2" s="1008" t="s">
        <v>408</v>
      </c>
    </row>
    <row r="3" spans="1:16" ht="15.75">
      <c r="D3" s="156"/>
      <c r="E3" s="157"/>
      <c r="F3" s="157"/>
      <c r="G3" s="158"/>
      <c r="I3" s="159"/>
      <c r="J3" s="159"/>
      <c r="K3" s="159"/>
      <c r="L3" s="160"/>
      <c r="N3" s="155" t="s">
        <v>408</v>
      </c>
      <c r="O3" s="161" t="s">
        <v>408</v>
      </c>
      <c r="P3" s="155" t="s">
        <v>408</v>
      </c>
    </row>
    <row r="4" spans="1:16">
      <c r="I4" s="155" t="s">
        <v>548</v>
      </c>
      <c r="L4" s="421">
        <v>2022</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823</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461</v>
      </c>
      <c r="C11" s="171"/>
      <c r="D11" s="165"/>
      <c r="E11" s="165"/>
      <c r="F11" s="165"/>
      <c r="G11" s="175"/>
      <c r="H11" s="165"/>
      <c r="I11" s="165"/>
      <c r="J11" s="165"/>
      <c r="K11" s="165"/>
      <c r="L11" s="171" t="s">
        <v>409</v>
      </c>
      <c r="M11" s="165"/>
    </row>
    <row r="12" spans="1:16" ht="15.75" thickBot="1">
      <c r="B12" s="177" t="s">
        <v>411</v>
      </c>
      <c r="C12" s="178"/>
      <c r="D12" s="165"/>
      <c r="E12" s="178"/>
      <c r="F12" s="165"/>
      <c r="G12" s="165"/>
      <c r="H12" s="165"/>
      <c r="I12" s="165"/>
      <c r="J12" s="165"/>
      <c r="K12" s="165"/>
      <c r="L12" s="179" t="s">
        <v>462</v>
      </c>
      <c r="M12" s="165"/>
    </row>
    <row r="13" spans="1:16">
      <c r="B13" s="170">
        <v>1</v>
      </c>
      <c r="C13" s="171"/>
      <c r="D13" s="180" t="s">
        <v>405</v>
      </c>
      <c r="E13" s="181" t="str">
        <f>"(ln "&amp;B191&amp;")"</f>
        <v>(ln 113)</v>
      </c>
      <c r="F13" s="181"/>
      <c r="G13" s="182"/>
      <c r="H13" s="183"/>
      <c r="I13" s="165"/>
      <c r="J13" s="165"/>
      <c r="K13" s="165"/>
      <c r="L13" s="184">
        <f>+L191</f>
        <v>240661371.94340038</v>
      </c>
      <c r="M13" s="165"/>
    </row>
    <row r="14" spans="1:16" ht="15.75" thickBot="1">
      <c r="B14" s="170"/>
      <c r="C14" s="171"/>
      <c r="E14" s="185"/>
      <c r="F14" s="186"/>
      <c r="G14" s="179" t="s">
        <v>412</v>
      </c>
      <c r="H14" s="168"/>
      <c r="I14" s="187" t="s">
        <v>413</v>
      </c>
      <c r="J14" s="187"/>
      <c r="K14" s="165"/>
      <c r="L14" s="182"/>
      <c r="M14" s="165"/>
    </row>
    <row r="15" spans="1:16">
      <c r="B15" s="170">
        <f>+B13+1</f>
        <v>2</v>
      </c>
      <c r="C15" s="171"/>
      <c r="D15" s="188" t="s">
        <v>460</v>
      </c>
      <c r="E15" s="185" t="str">
        <f>"(Worksheet E,  ln  "&amp;'WS E Rev Credits'!A31&amp;") (Note A) "</f>
        <v xml:space="preserve">(Worksheet E,  ln  8) (Note A) </v>
      </c>
      <c r="F15" s="186"/>
      <c r="G15" s="189">
        <f>+'WS E Rev Credits'!K31</f>
        <v>21592.37</v>
      </c>
      <c r="H15" s="186"/>
      <c r="I15" s="190" t="s">
        <v>422</v>
      </c>
      <c r="J15" s="191">
        <v>1</v>
      </c>
      <c r="K15" s="168"/>
      <c r="L15" s="192">
        <f>+J15*G15</f>
        <v>21592.37</v>
      </c>
      <c r="M15" s="165"/>
    </row>
    <row r="16" spans="1:16">
      <c r="B16" s="170"/>
      <c r="C16" s="171"/>
      <c r="D16" s="188"/>
      <c r="E16" s="185"/>
      <c r="F16" s="186"/>
      <c r="G16" s="189"/>
      <c r="H16" s="186"/>
      <c r="I16" s="190"/>
      <c r="J16" s="191"/>
      <c r="K16" s="168"/>
      <c r="L16" s="192"/>
      <c r="M16" s="165"/>
    </row>
    <row r="17" spans="2:13">
      <c r="B17" s="193">
        <f>+B15+1</f>
        <v>3</v>
      </c>
      <c r="C17" s="171"/>
      <c r="D17" s="188" t="s">
        <v>549</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240639779.57340038</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89"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89"/>
      <c r="D21" s="1489"/>
      <c r="E21" s="1489"/>
      <c r="F21" s="1489"/>
      <c r="G21" s="1489"/>
      <c r="H21" s="1489"/>
      <c r="I21" s="1489"/>
    </row>
    <row r="22" spans="2:13" ht="35.25" customHeight="1">
      <c r="B22" s="1489"/>
      <c r="C22" s="1489"/>
      <c r="D22" s="1489"/>
      <c r="E22" s="1489"/>
      <c r="F22" s="1489"/>
      <c r="G22" s="1489"/>
      <c r="H22" s="1489"/>
      <c r="I22" s="1489"/>
    </row>
    <row r="23" spans="2:13" ht="15" customHeight="1">
      <c r="B23" s="200"/>
      <c r="C23" s="200"/>
      <c r="D23" s="200"/>
      <c r="E23" s="200"/>
      <c r="F23" s="200"/>
      <c r="G23" s="200"/>
      <c r="H23" s="200"/>
      <c r="I23" s="200"/>
    </row>
    <row r="24" spans="2:13">
      <c r="B24" s="170">
        <f>+B18+1</f>
        <v>5</v>
      </c>
      <c r="C24" s="194"/>
      <c r="D24" s="201" t="s">
        <v>550</v>
      </c>
      <c r="E24" s="185"/>
      <c r="F24" s="186"/>
      <c r="G24" s="1242">
        <f>'WS K TRUE-UP RTEP RR'!N22</f>
        <v>52520690.772772737</v>
      </c>
      <c r="H24" s="186"/>
      <c r="I24" s="190" t="s">
        <v>422</v>
      </c>
      <c r="J24" s="191">
        <v>1</v>
      </c>
      <c r="K24" s="181"/>
      <c r="L24" s="202">
        <f>+J24*G24</f>
        <v>52520690.772772737</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0.13752324282726261</v>
      </c>
      <c r="M27" s="165"/>
    </row>
    <row r="28" spans="2:13">
      <c r="B28" s="170">
        <f>B27+1</f>
        <v>8</v>
      </c>
      <c r="C28" s="194"/>
      <c r="D28" s="205" t="s">
        <v>42</v>
      </c>
      <c r="E28" s="181" t="str">
        <f>"(ln "&amp;B27&amp;" / 12)"</f>
        <v>(ln 7 / 12)</v>
      </c>
      <c r="F28" s="171"/>
      <c r="G28" s="171"/>
      <c r="H28" s="171"/>
      <c r="I28" s="206"/>
      <c r="J28" s="206"/>
      <c r="K28" s="206"/>
      <c r="L28" s="208">
        <f>L27/12</f>
        <v>1.1460270235605217E-2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0.11129362813814259</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2.2676827223904111E-2</v>
      </c>
      <c r="M34" s="173"/>
    </row>
    <row r="35" spans="2:13">
      <c r="B35" s="170"/>
      <c r="C35" s="194"/>
      <c r="D35" s="162"/>
      <c r="E35" s="181"/>
      <c r="F35" s="171"/>
      <c r="G35" s="171"/>
      <c r="H35" s="171"/>
      <c r="I35" s="206"/>
      <c r="J35" s="206"/>
      <c r="K35" s="206"/>
      <c r="L35" s="207"/>
      <c r="M35" s="211"/>
    </row>
    <row r="36" spans="2:13">
      <c r="B36" s="170">
        <f>B34+1</f>
        <v>13</v>
      </c>
      <c r="C36" s="171"/>
      <c r="D36" s="212" t="s">
        <v>551</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95" t="s">
        <v>207</v>
      </c>
      <c r="E39" s="1495"/>
      <c r="F39" s="1495"/>
      <c r="G39" s="1495"/>
      <c r="H39" s="1495"/>
      <c r="I39" s="1495"/>
      <c r="J39" s="1495"/>
      <c r="K39" s="1495"/>
      <c r="L39" s="1495"/>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1302267.4269999999</v>
      </c>
      <c r="M41" s="165"/>
    </row>
    <row r="42" spans="2:13">
      <c r="B42" s="170">
        <f>+B41+1</f>
        <v>16</v>
      </c>
      <c r="C42" s="171"/>
      <c r="D42" s="180" t="s">
        <v>274</v>
      </c>
      <c r="E42" s="165"/>
      <c r="F42" s="171"/>
      <c r="H42" s="171"/>
      <c r="I42" s="206"/>
      <c r="J42" s="206"/>
      <c r="K42" s="206"/>
      <c r="L42" s="144">
        <f>'WS F Misc Exp'!D28</f>
        <v>4.7E-2</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1302267.3799999999</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415</v>
      </c>
      <c r="E57" s="171" t="s">
        <v>416</v>
      </c>
      <c r="F57" s="171"/>
      <c r="G57" s="171" t="s">
        <v>417</v>
      </c>
      <c r="H57" s="168" t="s">
        <v>408</v>
      </c>
      <c r="I57" s="1490" t="s">
        <v>418</v>
      </c>
      <c r="J57" s="1491"/>
      <c r="K57" s="168"/>
      <c r="L57" s="172" t="s">
        <v>419</v>
      </c>
      <c r="M57" s="168"/>
    </row>
    <row r="58" spans="2:16">
      <c r="B58" s="155"/>
      <c r="D58" s="209"/>
      <c r="E58" s="209"/>
      <c r="F58" s="209"/>
      <c r="G58" s="213"/>
      <c r="H58" s="168"/>
      <c r="I58" s="168"/>
      <c r="J58" s="221"/>
      <c r="K58" s="168"/>
      <c r="M58" s="168"/>
    </row>
    <row r="59" spans="2:16" ht="15.75">
      <c r="B59" s="222"/>
      <c r="C59" s="171"/>
      <c r="D59" s="209"/>
      <c r="E59" s="223" t="s">
        <v>388</v>
      </c>
      <c r="F59" s="224"/>
      <c r="G59" s="168"/>
      <c r="H59" s="168"/>
      <c r="I59" s="168"/>
      <c r="J59" s="171"/>
      <c r="K59" s="168"/>
      <c r="L59" s="225" t="s">
        <v>412</v>
      </c>
      <c r="M59" s="168"/>
      <c r="P59" s="216"/>
    </row>
    <row r="60" spans="2:16" ht="15.75">
      <c r="B60" s="155"/>
      <c r="C60" s="178"/>
      <c r="D60" s="226" t="s">
        <v>387</v>
      </c>
      <c r="E60" s="227" t="s">
        <v>406</v>
      </c>
      <c r="F60" s="168"/>
      <c r="G60" s="226" t="s">
        <v>374</v>
      </c>
      <c r="H60" s="228"/>
      <c r="I60" s="1492" t="s">
        <v>413</v>
      </c>
      <c r="J60" s="1493"/>
      <c r="K60" s="228"/>
      <c r="L60" s="226" t="s">
        <v>409</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375</v>
      </c>
      <c r="E62" s="231"/>
      <c r="F62" s="231"/>
      <c r="G62" s="186"/>
      <c r="H62" s="186"/>
      <c r="I62" s="190"/>
      <c r="J62" s="186"/>
      <c r="K62" s="186"/>
      <c r="L62" s="186"/>
      <c r="M62" s="168"/>
    </row>
    <row r="63" spans="2:16">
      <c r="B63" s="170">
        <f>+B45+1</f>
        <v>19</v>
      </c>
      <c r="C63" s="233"/>
      <c r="D63" s="234" t="s">
        <v>421</v>
      </c>
      <c r="E63" s="186" t="str">
        <f>"(Worksheet A ln "&amp;'WS A - Rate Base Support'!A23&amp;"."&amp;'WS A - Rate Base Support'!C8 &amp;" &amp; Ln "&amp;B207&amp;")"</f>
        <v>(Worksheet A ln 14.(d) &amp; Ln 117)</v>
      </c>
      <c r="F63" s="235"/>
      <c r="G63" s="203">
        <f>'WS A - Rate Base Support'!C23</f>
        <v>1894188507.5315385</v>
      </c>
      <c r="H63" s="203"/>
      <c r="I63" s="236" t="s">
        <v>422</v>
      </c>
      <c r="J63" s="191">
        <v>1</v>
      </c>
      <c r="K63" s="237"/>
      <c r="L63" s="238">
        <f>+L207</f>
        <v>1894188507.5315385</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414</v>
      </c>
      <c r="J64" s="191">
        <f>J134</f>
        <v>1</v>
      </c>
      <c r="K64" s="237"/>
      <c r="L64" s="238">
        <f>+G64*J64</f>
        <v>0</v>
      </c>
      <c r="M64" s="239"/>
    </row>
    <row r="65" spans="2:15">
      <c r="B65" s="170">
        <f>+B64+1</f>
        <v>21</v>
      </c>
      <c r="C65" s="233"/>
      <c r="D65" s="162" t="s">
        <v>423</v>
      </c>
      <c r="E65" s="186" t="str">
        <f>"(Worksheet A ln "&amp;'WS A - Rate Base Support'!A23&amp;"."&amp;'WS A - Rate Base Support'!E8 &amp;")"</f>
        <v>(Worksheet A ln 14.(h))</v>
      </c>
      <c r="F65" s="186"/>
      <c r="G65" s="203">
        <f>'WS A - Rate Base Support'!E23</f>
        <v>51398103.626153857</v>
      </c>
      <c r="H65" s="203"/>
      <c r="I65" s="190" t="s">
        <v>424</v>
      </c>
      <c r="J65" s="191">
        <f>L219</f>
        <v>1</v>
      </c>
      <c r="K65" s="186"/>
      <c r="L65" s="203">
        <f>+J65*G65</f>
        <v>51398103.626153857</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424</v>
      </c>
      <c r="J66" s="191">
        <f>L219</f>
        <v>1</v>
      </c>
      <c r="K66" s="186"/>
      <c r="L66" s="203">
        <f>+G66*J66</f>
        <v>0</v>
      </c>
      <c r="M66" s="168"/>
    </row>
    <row r="67" spans="2:15" ht="15.75" thickBot="1">
      <c r="B67" s="170">
        <f>+B66+1</f>
        <v>23</v>
      </c>
      <c r="C67" s="233"/>
      <c r="D67" s="162" t="s">
        <v>425</v>
      </c>
      <c r="E67" s="186" t="str">
        <f>"(Worksheet A ln "&amp;'WS A - Rate Base Support'!A23&amp;"."&amp;'WS A - Rate Base Support'!G8 &amp;")"</f>
        <v>(Worksheet A ln 14.(j))</v>
      </c>
      <c r="F67" s="186"/>
      <c r="G67" s="242">
        <f>'WS A - Rate Base Support'!G23</f>
        <v>20685674.776923075</v>
      </c>
      <c r="H67" s="203"/>
      <c r="I67" s="190" t="s">
        <v>424</v>
      </c>
      <c r="J67" s="191">
        <f>L219</f>
        <v>1</v>
      </c>
      <c r="K67" s="186"/>
      <c r="L67" s="242">
        <f>+J67*G67</f>
        <v>20685674.776923075</v>
      </c>
      <c r="M67" s="168"/>
      <c r="N67" s="162"/>
      <c r="O67" s="162"/>
    </row>
    <row r="68" spans="2:15" ht="15.75">
      <c r="B68" s="170">
        <f>+B67+1</f>
        <v>24</v>
      </c>
      <c r="C68" s="233"/>
      <c r="D68" s="162" t="s">
        <v>373</v>
      </c>
      <c r="E68" s="186" t="str">
        <f>"(Sum of Lines: "&amp;B63&amp;" to "&amp;B67&amp;")"</f>
        <v>(Sum of Lines: 19 to 23)</v>
      </c>
      <c r="F68" s="243"/>
      <c r="G68" s="203">
        <f>SUM(G63:G67)</f>
        <v>1966272285.9346156</v>
      </c>
      <c r="H68" s="203"/>
      <c r="I68" s="244" t="s">
        <v>762</v>
      </c>
      <c r="J68" s="245">
        <f>IF(G68=0,0,L68/G68)</f>
        <v>1</v>
      </c>
      <c r="K68" s="186"/>
      <c r="L68" s="203">
        <f>SUM(L63:L67)</f>
        <v>1966272285.9346156</v>
      </c>
      <c r="M68" s="168"/>
      <c r="N68" s="162"/>
      <c r="O68" s="162"/>
    </row>
    <row r="69" spans="2:15" ht="15.75">
      <c r="B69" s="170"/>
      <c r="C69" s="171"/>
      <c r="D69" s="162"/>
      <c r="E69" s="1234"/>
      <c r="F69" s="243"/>
      <c r="G69" s="203"/>
      <c r="H69" s="203"/>
      <c r="I69" s="244" t="s">
        <v>500</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144219796.81923074</v>
      </c>
      <c r="H71" s="203"/>
      <c r="I71" s="250" t="s">
        <v>356</v>
      </c>
      <c r="J71" s="251">
        <f>IF(G71=0,1,L71/G71)</f>
        <v>1</v>
      </c>
      <c r="K71" s="237"/>
      <c r="L71" s="203">
        <f>'WS A - Rate Base Support'!C64</f>
        <v>144219796.81923074</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356</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468840.52999999997</v>
      </c>
      <c r="H73" s="203"/>
      <c r="I73" s="190" t="s">
        <v>424</v>
      </c>
      <c r="J73" s="191">
        <f>L219</f>
        <v>1</v>
      </c>
      <c r="K73" s="186"/>
      <c r="L73" s="203">
        <f>+J73*G73</f>
        <v>468840.52999999997</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424</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8345206.4676923072</v>
      </c>
      <c r="H75" s="203"/>
      <c r="I75" s="190" t="s">
        <v>424</v>
      </c>
      <c r="J75" s="191">
        <f>L219</f>
        <v>1</v>
      </c>
      <c r="K75" s="186"/>
      <c r="L75" s="1157">
        <f>+J75*G75</f>
        <v>8345206.4676923072</v>
      </c>
      <c r="M75" s="186"/>
      <c r="N75" s="168"/>
      <c r="O75" s="168"/>
    </row>
    <row r="76" spans="2:15">
      <c r="B76" s="170">
        <f t="shared" si="0"/>
        <v>31</v>
      </c>
      <c r="C76" s="252"/>
      <c r="D76" s="205" t="s">
        <v>372</v>
      </c>
      <c r="E76" s="186" t="str">
        <f>"(Sum of Lines: "&amp;B71&amp;" to "&amp;B75&amp;")"</f>
        <v>(Sum of Lines: 26 to 30)</v>
      </c>
      <c r="F76" s="253"/>
      <c r="G76" s="203">
        <f>SUM(G71:G75)</f>
        <v>153033843.81692305</v>
      </c>
      <c r="H76" s="203"/>
      <c r="I76" s="190"/>
      <c r="J76" s="186"/>
      <c r="K76" s="203"/>
      <c r="L76" s="203">
        <f>SUM(L71:L75)</f>
        <v>153033843.81692305</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376</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1749968710.7123077</v>
      </c>
      <c r="H79" s="203"/>
      <c r="I79" s="190"/>
      <c r="J79" s="251"/>
      <c r="K79" s="186"/>
      <c r="L79" s="203">
        <f>+L63+L64-L71-L72</f>
        <v>1749968710.7123077</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50929263.096153855</v>
      </c>
      <c r="H80" s="203"/>
      <c r="I80" s="190"/>
      <c r="J80" s="255"/>
      <c r="K80" s="186"/>
      <c r="L80" s="203">
        <f>+L65+L66-L73-L74</f>
        <v>50929263.096153855</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12340468.309230767</v>
      </c>
      <c r="H81" s="203"/>
      <c r="I81" s="190"/>
      <c r="J81" s="255"/>
      <c r="K81" s="186"/>
      <c r="L81" s="242">
        <f>+L67-L75</f>
        <v>12340468.309230767</v>
      </c>
      <c r="M81" s="168"/>
      <c r="N81" s="168"/>
      <c r="O81" s="168"/>
    </row>
    <row r="82" spans="2:15" ht="15.75">
      <c r="B82" s="170">
        <f>+B81+1</f>
        <v>36</v>
      </c>
      <c r="C82" s="233"/>
      <c r="D82" s="241" t="s">
        <v>371</v>
      </c>
      <c r="E82" s="186" t="str">
        <f>"(Sum of Lines: "&amp;B79&amp;" to "&amp;B81&amp;")"</f>
        <v>(Sum of Lines: 33 to 35)</v>
      </c>
      <c r="F82" s="186"/>
      <c r="G82" s="203">
        <f>SUM(G79:G81)</f>
        <v>1813238442.1176925</v>
      </c>
      <c r="H82" s="203"/>
      <c r="I82" s="259" t="s">
        <v>763</v>
      </c>
      <c r="J82" s="245">
        <f>IF(G82=0,0,+L82/G82)</f>
        <v>1</v>
      </c>
      <c r="K82" s="186"/>
      <c r="L82" s="203">
        <f>SUM(L79:L81)</f>
        <v>1813238442.1176925</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477</v>
      </c>
      <c r="E86" s="186" t="str">
        <f>"(Worksheet B, ln "&amp;'WS B ADIT &amp; ITC'!A17&amp;" &amp; ln "&amp;'WS B ADIT &amp; ITC'!A20&amp;".E)"</f>
        <v>(Worksheet B, ln 2 &amp; ln 5.E)</v>
      </c>
      <c r="F86" s="186"/>
      <c r="G86" s="203">
        <f>'WS B ADIT &amp; ITC'!I17</f>
        <v>0</v>
      </c>
      <c r="H86" s="203"/>
      <c r="I86" s="190" t="s">
        <v>420</v>
      </c>
      <c r="J86" s="191"/>
      <c r="K86" s="186"/>
      <c r="L86" s="203">
        <f>'WS B ADIT &amp; ITC'!I20</f>
        <v>0</v>
      </c>
      <c r="M86" s="168"/>
      <c r="N86" s="168"/>
      <c r="O86" s="168"/>
    </row>
    <row r="87" spans="2:15">
      <c r="B87" s="170">
        <f t="shared" si="1"/>
        <v>39</v>
      </c>
      <c r="C87" s="233"/>
      <c r="D87" s="240" t="s">
        <v>478</v>
      </c>
      <c r="E87" s="186" t="str">
        <f>"(Worksheet B, ln "&amp;'WS B ADIT &amp; ITC'!A25&amp;" &amp; ln "&amp;'WS B ADIT &amp; ITC'!A28&amp;".E)"</f>
        <v>(Worksheet B, ln 7 &amp; ln 10.E)</v>
      </c>
      <c r="F87" s="186"/>
      <c r="G87" s="203">
        <f>-'WS B ADIT &amp; ITC'!I25</f>
        <v>-193392684.88999999</v>
      </c>
      <c r="H87" s="203"/>
      <c r="I87" s="190" t="s">
        <v>422</v>
      </c>
      <c r="J87" s="191"/>
      <c r="K87" s="186"/>
      <c r="L87" s="203">
        <f>-'WS B ADIT &amp; ITC'!I28</f>
        <v>-152776653.16932991</v>
      </c>
      <c r="M87" s="168"/>
      <c r="N87" s="168"/>
      <c r="O87" s="168"/>
    </row>
    <row r="88" spans="2:15">
      <c r="B88" s="170">
        <f t="shared" si="1"/>
        <v>40</v>
      </c>
      <c r="C88" s="233"/>
      <c r="D88" s="240" t="s">
        <v>479</v>
      </c>
      <c r="E88" s="186" t="str">
        <f>"(Worksheet B, ln "&amp;'WS B ADIT &amp; ITC'!A33&amp;" &amp; ln "&amp;'WS B ADIT &amp; ITC'!A36&amp;".E)"</f>
        <v>(Worksheet B, ln 12 &amp; ln 15.E)</v>
      </c>
      <c r="F88" s="186"/>
      <c r="G88" s="203">
        <f>-'WS B ADIT &amp; ITC'!I33</f>
        <v>-49316720.274999999</v>
      </c>
      <c r="H88" s="203"/>
      <c r="I88" s="190" t="s">
        <v>422</v>
      </c>
      <c r="J88" s="191"/>
      <c r="K88" s="186"/>
      <c r="L88" s="203">
        <f>-'WS B ADIT &amp; ITC'!I36</f>
        <v>-49316720.274999999</v>
      </c>
      <c r="M88" s="168"/>
      <c r="N88" s="168"/>
      <c r="O88" s="168"/>
    </row>
    <row r="89" spans="2:15">
      <c r="B89" s="170">
        <f t="shared" si="1"/>
        <v>41</v>
      </c>
      <c r="C89" s="233"/>
      <c r="D89" s="240" t="s">
        <v>480</v>
      </c>
      <c r="E89" s="186" t="str">
        <f>"(Worksheet B, ln "&amp;'WS B ADIT &amp; ITC'!A41&amp;" &amp; ln "&amp;'WS B ADIT &amp; ITC'!A44&amp;".E)"</f>
        <v>(Worksheet B, ln 17 &amp; ln 20.E)</v>
      </c>
      <c r="F89" s="186"/>
      <c r="G89" s="203">
        <f>'WS B ADIT &amp; ITC'!I41</f>
        <v>11246248.710000001</v>
      </c>
      <c r="H89" s="203"/>
      <c r="I89" s="190" t="s">
        <v>422</v>
      </c>
      <c r="J89" s="191"/>
      <c r="K89" s="186"/>
      <c r="L89" s="203">
        <f>'WS B ADIT &amp; ITC'!I44</f>
        <v>54803700.449864745</v>
      </c>
      <c r="M89" s="168"/>
      <c r="N89" s="168"/>
      <c r="O89" s="168"/>
    </row>
    <row r="90" spans="2:15" ht="15.75" thickBot="1">
      <c r="B90" s="170">
        <f t="shared" si="1"/>
        <v>42</v>
      </c>
      <c r="C90" s="233"/>
      <c r="D90" s="261" t="s">
        <v>426</v>
      </c>
      <c r="E90" s="186" t="str">
        <f>"(Worksheet B, ln "&amp;'WS B ADIT &amp; ITC'!A51&amp;" &amp; ln "&amp;'WS B ADIT &amp; ITC'!A52&amp;".E)"</f>
        <v>(Worksheet B, ln 24 &amp; ln 25.E)</v>
      </c>
      <c r="F90" s="160"/>
      <c r="G90" s="242">
        <f>-'WS B ADIT &amp; ITC'!I51</f>
        <v>0</v>
      </c>
      <c r="H90" s="203"/>
      <c r="I90" s="190" t="s">
        <v>422</v>
      </c>
      <c r="J90" s="191"/>
      <c r="K90" s="186"/>
      <c r="L90" s="242">
        <f>-'WS B ADIT &amp; ITC'!I52</f>
        <v>0</v>
      </c>
      <c r="M90" s="262"/>
      <c r="N90" s="168"/>
      <c r="O90" s="168"/>
    </row>
    <row r="91" spans="2:15">
      <c r="B91" s="170">
        <f t="shared" si="1"/>
        <v>43</v>
      </c>
      <c r="C91" s="233"/>
      <c r="D91" s="241" t="s">
        <v>385</v>
      </c>
      <c r="E91" s="241" t="str">
        <f>"(sum lns "&amp;B86&amp;" to "&amp;B90&amp;")"</f>
        <v>(sum lns 38 to 42)</v>
      </c>
      <c r="F91" s="186"/>
      <c r="G91" s="203">
        <f>SUM(G86:G90)</f>
        <v>-231463156.45499998</v>
      </c>
      <c r="H91" s="263"/>
      <c r="I91" s="190"/>
      <c r="J91" s="210"/>
      <c r="K91" s="186"/>
      <c r="L91" s="203">
        <f>SUM(L86:L90)</f>
        <v>-147289672.99446517</v>
      </c>
      <c r="M91" s="168"/>
      <c r="N91" s="264"/>
    </row>
    <row r="92" spans="2:15">
      <c r="B92" s="170"/>
      <c r="C92" s="171"/>
      <c r="D92" s="241"/>
      <c r="E92" s="186"/>
      <c r="F92" s="186"/>
      <c r="G92" s="203"/>
      <c r="H92" s="263"/>
      <c r="I92" s="190"/>
      <c r="J92" s="255"/>
      <c r="K92" s="186"/>
      <c r="L92" s="203"/>
      <c r="M92" s="168"/>
    </row>
    <row r="93" spans="2:15">
      <c r="B93" s="170">
        <f>+B91+1</f>
        <v>44</v>
      </c>
      <c r="C93" s="171"/>
      <c r="D93" s="241" t="s">
        <v>489</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422</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422</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637</v>
      </c>
      <c r="E97" s="186" t="s">
        <v>638</v>
      </c>
      <c r="F97" s="186"/>
      <c r="G97" s="203">
        <f>'WS A - Rate Base Support'!F87</f>
        <v>0</v>
      </c>
      <c r="H97" s="203"/>
      <c r="I97" s="190" t="s">
        <v>424</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386</v>
      </c>
      <c r="E99" s="186" t="s">
        <v>286</v>
      </c>
      <c r="F99" s="186"/>
      <c r="G99" s="203"/>
      <c r="H99" s="263"/>
      <c r="I99" s="190"/>
      <c r="J99" s="186"/>
      <c r="K99" s="186"/>
      <c r="L99" s="203"/>
      <c r="M99" s="168"/>
    </row>
    <row r="100" spans="2:14">
      <c r="B100" s="170">
        <f t="shared" ref="B100:B108" si="2">+B99+1</f>
        <v>48</v>
      </c>
      <c r="C100" s="233"/>
      <c r="D100" s="241" t="s">
        <v>488</v>
      </c>
      <c r="E100" s="160" t="str">
        <f>"(1/8 * ln "&amp;B134&amp;")"</f>
        <v>(1/8 * ln 66)</v>
      </c>
      <c r="F100" s="160"/>
      <c r="G100" s="203">
        <f>+G134/8</f>
        <v>1909665.5716250001</v>
      </c>
      <c r="H100" s="186"/>
      <c r="I100" s="190"/>
      <c r="J100" s="255"/>
      <c r="K100" s="186"/>
      <c r="L100" s="203">
        <f>+L134/8</f>
        <v>1909665.5716250001</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414</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424</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764</v>
      </c>
      <c r="J103" s="191">
        <f>J68</f>
        <v>1</v>
      </c>
      <c r="K103" s="168"/>
      <c r="L103" s="257">
        <f>+J103*G103</f>
        <v>0</v>
      </c>
      <c r="M103" s="186"/>
    </row>
    <row r="104" spans="2:14">
      <c r="B104" s="170">
        <f t="shared" si="2"/>
        <v>52</v>
      </c>
      <c r="C104" s="252"/>
      <c r="D104" s="240" t="s">
        <v>492</v>
      </c>
      <c r="E104" s="186" t="str">
        <f>"(Worksheet C, ln "&amp;'WS C  - Working Capital'!A31&amp;".(G))"</f>
        <v>(Worksheet C, ln 8.(G))</v>
      </c>
      <c r="F104" s="186"/>
      <c r="G104" s="203">
        <f>'WS C  - Working Capital'!J31</f>
        <v>0</v>
      </c>
      <c r="H104" s="263"/>
      <c r="I104" s="190" t="s">
        <v>424</v>
      </c>
      <c r="J104" s="191">
        <f>L219</f>
        <v>1</v>
      </c>
      <c r="K104" s="186"/>
      <c r="L104" s="203">
        <f>+J104*G104</f>
        <v>0</v>
      </c>
      <c r="M104" s="186"/>
    </row>
    <row r="105" spans="2:14">
      <c r="B105" s="170">
        <f t="shared" si="2"/>
        <v>53</v>
      </c>
      <c r="C105" s="233"/>
      <c r="D105" s="241" t="s">
        <v>493</v>
      </c>
      <c r="E105" s="186" t="str">
        <f>"(Worksheet C, ln "&amp;'WS C  - Working Capital'!A31&amp;".(F))"</f>
        <v>(Worksheet C, ln 8.(F))</v>
      </c>
      <c r="F105" s="186"/>
      <c r="G105" s="203">
        <f>'WS C  - Working Capital'!I31</f>
        <v>352697</v>
      </c>
      <c r="H105" s="263"/>
      <c r="I105" s="190" t="s">
        <v>764</v>
      </c>
      <c r="J105" s="191">
        <f>J68</f>
        <v>1</v>
      </c>
      <c r="K105" s="186"/>
      <c r="L105" s="203">
        <f>+G105*J105</f>
        <v>352697</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422</v>
      </c>
      <c r="J106" s="191">
        <v>1</v>
      </c>
      <c r="K106" s="186"/>
      <c r="L106" s="203">
        <f>+G106</f>
        <v>0</v>
      </c>
      <c r="M106" s="186"/>
    </row>
    <row r="107" spans="2:14" ht="15.75" thickBot="1">
      <c r="B107" s="170">
        <f t="shared" si="2"/>
        <v>55</v>
      </c>
      <c r="C107" s="233"/>
      <c r="D107" s="241" t="s">
        <v>398</v>
      </c>
      <c r="E107" s="186" t="str">
        <f>"(Worksheet C, ln "&amp;'WS C  - Working Capital'!A31&amp;".(D))"</f>
        <v>(Worksheet C, ln 8.(D))</v>
      </c>
      <c r="F107" s="186"/>
      <c r="G107" s="242">
        <f>'WS C  - Working Capital'!E31</f>
        <v>0</v>
      </c>
      <c r="H107" s="203"/>
      <c r="I107" s="190" t="s">
        <v>420</v>
      </c>
      <c r="J107" s="191">
        <v>0</v>
      </c>
      <c r="K107" s="186"/>
      <c r="L107" s="242">
        <f>+G107*J107</f>
        <v>0</v>
      </c>
      <c r="M107" s="186"/>
    </row>
    <row r="108" spans="2:14">
      <c r="B108" s="170">
        <f t="shared" si="2"/>
        <v>56</v>
      </c>
      <c r="C108" s="233"/>
      <c r="D108" s="241" t="s">
        <v>370</v>
      </c>
      <c r="E108" s="241" t="str">
        <f>"(sum lns "&amp;B100&amp;" to "&amp;B107&amp;")"</f>
        <v>(sum lns 48 to 55)</v>
      </c>
      <c r="F108" s="181"/>
      <c r="G108" s="203">
        <f>SUM(G100:G107)</f>
        <v>2262362.5716249999</v>
      </c>
      <c r="H108" s="181"/>
      <c r="I108" s="194"/>
      <c r="J108" s="181"/>
      <c r="K108" s="181"/>
      <c r="L108" s="203">
        <f>SUM(L100:L107)</f>
        <v>2262362.5716249999</v>
      </c>
      <c r="M108" s="165"/>
    </row>
    <row r="109" spans="2:14">
      <c r="B109" s="170"/>
      <c r="C109" s="171"/>
      <c r="D109" s="241"/>
      <c r="E109" s="165"/>
      <c r="F109" s="165"/>
      <c r="G109" s="257"/>
      <c r="H109" s="165"/>
      <c r="I109" s="171"/>
      <c r="J109" s="165"/>
      <c r="K109" s="165"/>
      <c r="L109" s="257"/>
      <c r="M109" s="165"/>
    </row>
    <row r="110" spans="2:14">
      <c r="B110" s="170">
        <f>+B108+1</f>
        <v>57</v>
      </c>
      <c r="C110" s="171"/>
      <c r="D110" s="240" t="s">
        <v>358</v>
      </c>
      <c r="E110" s="162" t="str">
        <f>"(Note F) (Worksheet D, ln "&amp;'WS D IPP Credits'!A23&amp;".B)"</f>
        <v>(Note F) (Worksheet D, ln 8.B)</v>
      </c>
      <c r="F110" s="165"/>
      <c r="G110" s="257">
        <f>+'WS D IPP Credits'!C23</f>
        <v>0</v>
      </c>
      <c r="H110" s="165"/>
      <c r="I110" s="265" t="s">
        <v>422</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1584037648.2343175</v>
      </c>
      <c r="H112" s="168"/>
      <c r="I112" s="168"/>
      <c r="J112" s="268"/>
      <c r="K112" s="168"/>
      <c r="L112" s="267">
        <f>+L108+L93+L91+L82+L110+L95+L97</f>
        <v>1668211131.6948524</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415</v>
      </c>
      <c r="E121" s="171" t="s">
        <v>416</v>
      </c>
      <c r="F121" s="171"/>
      <c r="G121" s="171" t="s">
        <v>417</v>
      </c>
      <c r="H121" s="186"/>
      <c r="I121" s="1490" t="s">
        <v>418</v>
      </c>
      <c r="J121" s="1494"/>
      <c r="K121" s="168"/>
      <c r="L121" s="172" t="s">
        <v>419</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394</v>
      </c>
      <c r="E123" s="223" t="str">
        <f>E59</f>
        <v>Data Sources</v>
      </c>
      <c r="F123" s="224"/>
      <c r="G123" s="168"/>
      <c r="H123" s="186"/>
      <c r="I123" s="168"/>
      <c r="J123" s="171"/>
      <c r="K123" s="168"/>
      <c r="L123" s="223" t="str">
        <f>L59</f>
        <v>Total</v>
      </c>
      <c r="N123" s="274"/>
      <c r="O123" s="275"/>
    </row>
    <row r="124" spans="2:15" ht="15.75">
      <c r="B124" s="269"/>
      <c r="C124" s="178"/>
      <c r="D124" s="226" t="s">
        <v>395</v>
      </c>
      <c r="E124" s="276" t="str">
        <f>E60</f>
        <v>(See "General Notes")</v>
      </c>
      <c r="F124" s="168"/>
      <c r="G124" s="276" t="str">
        <f>G60</f>
        <v>TO Total</v>
      </c>
      <c r="H124" s="277"/>
      <c r="I124" s="1492" t="str">
        <f>I60</f>
        <v>Allocator</v>
      </c>
      <c r="J124" s="1493"/>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396</v>
      </c>
      <c r="E126" s="168"/>
      <c r="F126" s="168"/>
      <c r="G126" s="168"/>
      <c r="H126" s="186"/>
      <c r="I126" s="197"/>
      <c r="J126" s="168"/>
      <c r="K126" s="168"/>
      <c r="L126" s="168"/>
      <c r="M126" s="168"/>
    </row>
    <row r="127" spans="2:15">
      <c r="B127" s="170">
        <f>+B112+1</f>
        <v>59</v>
      </c>
      <c r="C127" s="171"/>
      <c r="D127" s="205" t="s">
        <v>32</v>
      </c>
      <c r="E127" s="168" t="s">
        <v>486</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427</v>
      </c>
      <c r="E129" s="168" t="s">
        <v>197</v>
      </c>
      <c r="F129" s="186"/>
      <c r="G129" s="141">
        <v>16579592</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16579592</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1302267.4269999999</v>
      </c>
      <c r="H131" s="203"/>
      <c r="I131" s="209"/>
      <c r="J131" s="209"/>
      <c r="K131" s="173"/>
      <c r="L131" s="173"/>
      <c r="M131" s="165"/>
      <c r="N131" s="168"/>
      <c r="O131" s="168"/>
    </row>
    <row r="132" spans="2:15">
      <c r="B132" s="170">
        <f t="shared" si="3"/>
        <v>64</v>
      </c>
      <c r="C132" s="171"/>
      <c r="D132" s="205" t="s">
        <v>352</v>
      </c>
      <c r="E132" s="186" t="s">
        <v>393</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15277324.573000001</v>
      </c>
      <c r="H134" s="186"/>
      <c r="I134" s="197" t="s">
        <v>414</v>
      </c>
      <c r="J134" s="191">
        <f>L209</f>
        <v>1</v>
      </c>
      <c r="K134" s="186"/>
      <c r="L134" s="203">
        <f>+J134*G134</f>
        <v>15277324.573000001</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397</v>
      </c>
      <c r="E136" s="186" t="s">
        <v>761</v>
      </c>
      <c r="F136" s="168"/>
      <c r="G136" s="145">
        <v>6667550</v>
      </c>
      <c r="H136" s="280" t="s">
        <v>408</v>
      </c>
      <c r="I136" s="258"/>
      <c r="J136" s="258"/>
      <c r="K136" s="168"/>
      <c r="L136" s="257"/>
      <c r="M136" s="168"/>
      <c r="N136" s="168"/>
      <c r="O136" s="168"/>
    </row>
    <row r="137" spans="2:15">
      <c r="B137" s="170">
        <f t="shared" ref="B137:B143" si="4">+B136+1</f>
        <v>68</v>
      </c>
      <c r="C137" s="171"/>
      <c r="D137" s="205" t="s">
        <v>125</v>
      </c>
      <c r="E137" s="168" t="s">
        <v>199</v>
      </c>
      <c r="F137" s="168"/>
      <c r="G137" s="145">
        <v>472885</v>
      </c>
      <c r="H137" s="203"/>
      <c r="I137" s="258"/>
      <c r="J137" s="162"/>
      <c r="K137" s="168"/>
      <c r="L137" s="257"/>
      <c r="M137" s="173"/>
      <c r="N137" s="168"/>
      <c r="O137" s="168"/>
    </row>
    <row r="138" spans="2:15">
      <c r="B138" s="170">
        <f t="shared" si="4"/>
        <v>69</v>
      </c>
      <c r="C138" s="171"/>
      <c r="D138" s="162" t="s">
        <v>124</v>
      </c>
      <c r="E138" s="168" t="s">
        <v>389</v>
      </c>
      <c r="F138" s="186"/>
      <c r="G138" s="145">
        <v>32154</v>
      </c>
      <c r="H138" s="203"/>
      <c r="I138" s="258"/>
      <c r="J138" s="282"/>
      <c r="K138" s="168"/>
      <c r="L138" s="257"/>
      <c r="M138" s="168"/>
      <c r="N138" s="168"/>
      <c r="O138" s="168"/>
    </row>
    <row r="139" spans="2:15">
      <c r="B139" s="170">
        <f t="shared" si="4"/>
        <v>70</v>
      </c>
      <c r="C139" s="171"/>
      <c r="D139" s="205" t="s">
        <v>401</v>
      </c>
      <c r="E139" s="168" t="s">
        <v>390</v>
      </c>
      <c r="F139" s="186"/>
      <c r="G139" s="145">
        <v>764</v>
      </c>
      <c r="H139" s="203"/>
      <c r="I139" s="258"/>
      <c r="J139" s="258"/>
      <c r="K139" s="168"/>
      <c r="L139" s="257"/>
      <c r="M139" s="168"/>
      <c r="N139" s="168"/>
      <c r="O139" s="168"/>
    </row>
    <row r="140" spans="2:15" ht="15.75" thickBot="1">
      <c r="B140" s="170">
        <f t="shared" si="4"/>
        <v>71</v>
      </c>
      <c r="C140" s="171"/>
      <c r="D140" s="205" t="s">
        <v>126</v>
      </c>
      <c r="E140" s="168" t="s">
        <v>391</v>
      </c>
      <c r="F140" s="186"/>
      <c r="G140" s="141">
        <v>127537</v>
      </c>
      <c r="H140" s="203"/>
      <c r="I140" s="258"/>
      <c r="J140" s="258"/>
      <c r="K140" s="168"/>
      <c r="L140" s="257"/>
      <c r="M140" s="168"/>
      <c r="N140" s="168"/>
      <c r="O140" s="168"/>
    </row>
    <row r="141" spans="2:15">
      <c r="B141" s="170">
        <f>+B140+1</f>
        <v>72</v>
      </c>
      <c r="C141" s="171"/>
      <c r="D141" s="162" t="s">
        <v>402</v>
      </c>
      <c r="E141" s="186" t="str">
        <f>"(ln "&amp;B136&amp;" - sum ln "&amp;B137&amp;"  to ln "&amp;B140&amp;")"</f>
        <v>(ln 67 - sum ln 68  to ln 71)</v>
      </c>
      <c r="F141" s="186"/>
      <c r="G141" s="203">
        <f>G136-SUM(G137:G140)</f>
        <v>6034210</v>
      </c>
      <c r="H141" s="203"/>
      <c r="I141" s="197" t="s">
        <v>424</v>
      </c>
      <c r="J141" s="191">
        <f>L219</f>
        <v>1</v>
      </c>
      <c r="K141" s="168"/>
      <c r="L141" s="257">
        <f>+J141*G141</f>
        <v>6034210</v>
      </c>
      <c r="M141" s="168"/>
      <c r="N141" s="168"/>
      <c r="O141" s="168"/>
    </row>
    <row r="142" spans="2:15">
      <c r="B142" s="170">
        <f t="shared" si="4"/>
        <v>73</v>
      </c>
      <c r="C142" s="194"/>
      <c r="D142" s="205" t="s">
        <v>481</v>
      </c>
      <c r="E142" s="186" t="str">
        <f>"(ln "&amp;B137&amp;")"</f>
        <v>(ln 68)</v>
      </c>
      <c r="F142" s="186"/>
      <c r="G142" s="203">
        <f>+G137</f>
        <v>472885</v>
      </c>
      <c r="H142" s="203"/>
      <c r="I142" s="283" t="s">
        <v>636</v>
      </c>
      <c r="J142" s="191">
        <f>J68</f>
        <v>1</v>
      </c>
      <c r="K142" s="186"/>
      <c r="L142" s="203">
        <f>+J142*G142</f>
        <v>472885</v>
      </c>
      <c r="M142" s="168"/>
      <c r="N142" s="168"/>
      <c r="O142" s="168"/>
    </row>
    <row r="143" spans="2:15">
      <c r="B143" s="170">
        <f t="shared" si="4"/>
        <v>74</v>
      </c>
      <c r="C143" s="171"/>
      <c r="D143" s="205" t="s">
        <v>1</v>
      </c>
      <c r="E143" s="186" t="str">
        <f>"Worksheet F ln "&amp;'WS F Misc Exp'!A44&amp;".(E) (Note L)"</f>
        <v>Worksheet F ln 21.(E) (Note L)</v>
      </c>
      <c r="F143" s="186"/>
      <c r="G143" s="203">
        <f>+'WS F Misc Exp'!F44</f>
        <v>30921.16</v>
      </c>
      <c r="H143" s="203"/>
      <c r="I143" s="197" t="s">
        <v>414</v>
      </c>
      <c r="J143" s="191">
        <f>L209</f>
        <v>1</v>
      </c>
      <c r="K143" s="168"/>
      <c r="L143" s="257">
        <f>J143*G143</f>
        <v>30921.16</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414</v>
      </c>
      <c r="J144" s="191">
        <f>L209</f>
        <v>1</v>
      </c>
      <c r="K144" s="168"/>
      <c r="L144" s="257">
        <f>+J144*G144</f>
        <v>0</v>
      </c>
      <c r="M144" s="168"/>
      <c r="N144" s="168"/>
      <c r="O144" s="168"/>
    </row>
    <row r="145" spans="2:15">
      <c r="B145" s="170">
        <f>+B144+1</f>
        <v>76</v>
      </c>
      <c r="C145" s="171"/>
      <c r="D145" s="205" t="s">
        <v>26</v>
      </c>
      <c r="E145" s="186" t="str">
        <f>"Worksheet F ln "&amp;'WS F Misc Exp'!A73&amp;".(E) (Note L)"</f>
        <v>Worksheet F ln 43.(E) (Note L)</v>
      </c>
      <c r="F145" s="186"/>
      <c r="G145" s="189">
        <f>+'WS F Misc Exp'!F73</f>
        <v>597.03</v>
      </c>
      <c r="H145" s="284"/>
      <c r="I145" s="190" t="s">
        <v>422</v>
      </c>
      <c r="J145" s="191">
        <v>1</v>
      </c>
      <c r="K145" s="168"/>
      <c r="L145" s="285">
        <f>+J145*G145</f>
        <v>597.03</v>
      </c>
      <c r="M145" s="168"/>
      <c r="N145" s="168"/>
      <c r="O145" s="168"/>
    </row>
    <row r="146" spans="2:15">
      <c r="B146" s="170">
        <f>+B145+1</f>
        <v>77</v>
      </c>
      <c r="C146" s="171"/>
      <c r="D146" s="1305" t="s">
        <v>798</v>
      </c>
      <c r="E146" s="186" t="str">
        <f>"Worksheet O Ln "&amp;'Worksheet O'!A33&amp;"."&amp;'Worksheet O'!D11&amp;", (Note K &amp; M)"</f>
        <v>Worksheet O Ln 16.(B), (Note K &amp; M)</v>
      </c>
      <c r="F146" s="186"/>
      <c r="G146" s="1237">
        <f>'Worksheet O'!D33</f>
        <v>872501.33706122939</v>
      </c>
      <c r="H146" s="284"/>
      <c r="I146" s="197" t="s">
        <v>424</v>
      </c>
      <c r="J146" s="191">
        <f>L219</f>
        <v>1</v>
      </c>
      <c r="K146" s="168"/>
      <c r="L146" s="1310">
        <f>+J146*G146</f>
        <v>872501.33706122939</v>
      </c>
      <c r="M146" s="168"/>
      <c r="N146" s="168"/>
      <c r="O146" s="168"/>
    </row>
    <row r="147" spans="2:15">
      <c r="B147" s="170">
        <f>+B146+1</f>
        <v>78</v>
      </c>
      <c r="C147" s="171"/>
      <c r="D147" s="162" t="s">
        <v>403</v>
      </c>
      <c r="E147" s="186" t="str">
        <f>"(sum lns "&amp;B141&amp;"  to "&amp;B146&amp;")"</f>
        <v>(sum lns 72  to 77)</v>
      </c>
      <c r="F147" s="186"/>
      <c r="G147" s="257">
        <f>SUM(G141:G146)</f>
        <v>7411114.5270612296</v>
      </c>
      <c r="H147" s="203"/>
      <c r="I147" s="197"/>
      <c r="J147" s="258"/>
      <c r="K147" s="168"/>
      <c r="L147" s="257">
        <f>SUM(L141:L146)</f>
        <v>7411114.5270612296</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22688439.10006123</v>
      </c>
      <c r="H149" s="203"/>
      <c r="I149" s="190"/>
      <c r="J149" s="186"/>
      <c r="K149" s="186"/>
      <c r="L149" s="203">
        <f>L134+L147</f>
        <v>22688439.10006123</v>
      </c>
      <c r="M149" s="168"/>
      <c r="N149" s="168"/>
      <c r="O149" s="168"/>
    </row>
    <row r="150" spans="2:15" ht="15.75" thickBot="1">
      <c r="B150" s="256">
        <f>+B149+1</f>
        <v>80</v>
      </c>
      <c r="C150" s="194"/>
      <c r="D150" s="205" t="s">
        <v>272</v>
      </c>
      <c r="E150" s="205"/>
      <c r="F150" s="186"/>
      <c r="G150" s="141">
        <v>0</v>
      </c>
      <c r="H150" s="203"/>
      <c r="I150" s="197" t="s">
        <v>422</v>
      </c>
      <c r="J150" s="191">
        <f>J63</f>
        <v>1</v>
      </c>
      <c r="K150" s="186"/>
      <c r="L150" s="266">
        <f>J150*G150</f>
        <v>0</v>
      </c>
      <c r="M150" s="168"/>
      <c r="N150" s="168"/>
      <c r="O150" s="168"/>
    </row>
    <row r="151" spans="2:15">
      <c r="B151" s="170">
        <f>+B150+1</f>
        <v>81</v>
      </c>
      <c r="C151" s="171"/>
      <c r="D151" s="205" t="s">
        <v>404</v>
      </c>
      <c r="E151" s="186" t="str">
        <f>"(ln "&amp;B149&amp;" + ln "&amp;B150&amp;")"</f>
        <v>(ln 79 + ln 80)</v>
      </c>
      <c r="F151" s="186"/>
      <c r="G151" s="203">
        <f>+G149+G150</f>
        <v>22688439.10006123</v>
      </c>
      <c r="H151" s="203"/>
      <c r="I151" s="190"/>
      <c r="J151" s="186"/>
      <c r="K151" s="186"/>
      <c r="L151" s="203">
        <f>+L149+L150</f>
        <v>22688439.10006123</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407</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45901005</v>
      </c>
      <c r="H154" s="287"/>
      <c r="I154" s="288" t="s">
        <v>355</v>
      </c>
      <c r="J154" s="191">
        <f>J71</f>
        <v>1</v>
      </c>
      <c r="K154" s="239"/>
      <c r="L154" s="289">
        <f>J154*G154</f>
        <v>45901005</v>
      </c>
      <c r="M154" s="239"/>
      <c r="N154" s="168"/>
      <c r="O154" s="168"/>
    </row>
    <row r="155" spans="2:15">
      <c r="B155" s="170">
        <f>+B154+1</f>
        <v>84</v>
      </c>
      <c r="C155" s="171"/>
      <c r="D155" s="241" t="s">
        <v>428</v>
      </c>
      <c r="E155" s="286" t="s">
        <v>201</v>
      </c>
      <c r="F155" s="168"/>
      <c r="G155" s="149">
        <v>919371</v>
      </c>
      <c r="H155" s="203"/>
      <c r="I155" s="197" t="s">
        <v>424</v>
      </c>
      <c r="J155" s="191">
        <f>L219</f>
        <v>1</v>
      </c>
      <c r="K155" s="168"/>
      <c r="L155" s="257">
        <f>+J155*G155</f>
        <v>919371</v>
      </c>
      <c r="M155" s="168"/>
      <c r="N155" s="186"/>
      <c r="O155" s="168"/>
    </row>
    <row r="156" spans="2:15" ht="15.75" thickBot="1">
      <c r="B156" s="170">
        <f>+B155+1</f>
        <v>85</v>
      </c>
      <c r="C156" s="171"/>
      <c r="D156" s="241" t="s">
        <v>429</v>
      </c>
      <c r="E156" s="235" t="s">
        <v>202</v>
      </c>
      <c r="F156" s="186"/>
      <c r="G156" s="141">
        <v>3726648</v>
      </c>
      <c r="H156" s="203"/>
      <c r="I156" s="197" t="s">
        <v>424</v>
      </c>
      <c r="J156" s="191">
        <f>L219</f>
        <v>1</v>
      </c>
      <c r="K156" s="168"/>
      <c r="L156" s="266">
        <f>+J156*G156</f>
        <v>3726648</v>
      </c>
      <c r="M156" s="168"/>
      <c r="N156" s="186"/>
      <c r="O156" s="168"/>
    </row>
    <row r="157" spans="2:15" ht="15" customHeight="1">
      <c r="B157" s="170">
        <f>+B156+1</f>
        <v>86</v>
      </c>
      <c r="C157" s="171"/>
      <c r="D157" s="241" t="s">
        <v>96</v>
      </c>
      <c r="E157" s="290" t="str">
        <f>"(Ln "&amp;B154&amp;"+"&amp;B155&amp;"+"&amp;B156&amp;")"</f>
        <v>(Ln 83+84+85)</v>
      </c>
      <c r="F157" s="168"/>
      <c r="G157" s="203">
        <f>+G154+G155+G156</f>
        <v>50547024</v>
      </c>
      <c r="H157" s="186"/>
      <c r="I157" s="197"/>
      <c r="J157" s="168"/>
      <c r="K157" s="168"/>
      <c r="L157" s="203">
        <f>+L154+L155+L156</f>
        <v>50547024</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359</v>
      </c>
      <c r="E159" s="160" t="s">
        <v>203</v>
      </c>
      <c r="G159" s="257"/>
      <c r="H159" s="186"/>
      <c r="I159" s="197"/>
      <c r="J159" s="168"/>
      <c r="K159" s="168"/>
      <c r="L159" s="257"/>
      <c r="M159" s="168"/>
      <c r="N159" s="292"/>
      <c r="O159" s="168"/>
    </row>
    <row r="160" spans="2:15">
      <c r="B160" s="170">
        <f t="shared" ref="B160:B165" si="5">+B159+1</f>
        <v>88</v>
      </c>
      <c r="C160" s="171"/>
      <c r="D160" s="241" t="s">
        <v>430</v>
      </c>
      <c r="G160" s="257"/>
      <c r="H160" s="186"/>
      <c r="I160" s="197"/>
      <c r="K160" s="168"/>
      <c r="L160" s="257"/>
      <c r="M160" s="168"/>
      <c r="N160" s="168"/>
      <c r="O160" s="168"/>
    </row>
    <row r="161" spans="2:15">
      <c r="B161" s="170">
        <f t="shared" si="5"/>
        <v>89</v>
      </c>
      <c r="C161" s="171"/>
      <c r="D161" s="241" t="s">
        <v>431</v>
      </c>
      <c r="E161" s="186" t="str">
        <f>"Worksheet H ln "&amp;'WS H-p1 Other Taxes'!A43&amp;"."&amp;'WS H-p1 Other Taxes'!I10&amp;""</f>
        <v>Worksheet H ln 23.(D)</v>
      </c>
      <c r="F161" s="168"/>
      <c r="G161" s="203">
        <f>+'WS H-p1 Other Taxes'!I43</f>
        <v>0</v>
      </c>
      <c r="H161" s="203"/>
      <c r="I161" s="197" t="s">
        <v>424</v>
      </c>
      <c r="J161" s="191">
        <f>L219</f>
        <v>1</v>
      </c>
      <c r="K161" s="168"/>
      <c r="L161" s="257">
        <f>+J161*G161</f>
        <v>0</v>
      </c>
      <c r="M161" s="262"/>
      <c r="N161" s="168"/>
      <c r="O161" s="168"/>
    </row>
    <row r="162" spans="2:15">
      <c r="B162" s="170">
        <f t="shared" si="5"/>
        <v>90</v>
      </c>
      <c r="C162" s="171"/>
      <c r="D162" s="241" t="s">
        <v>432</v>
      </c>
      <c r="E162" s="186" t="s">
        <v>408</v>
      </c>
      <c r="F162" s="168"/>
      <c r="G162" s="203"/>
      <c r="H162" s="203"/>
      <c r="I162" s="197"/>
      <c r="K162" s="168"/>
      <c r="L162" s="257"/>
      <c r="M162" s="186"/>
      <c r="N162" s="168"/>
      <c r="O162" s="168"/>
    </row>
    <row r="163" spans="2:15">
      <c r="B163" s="193">
        <f t="shared" si="5"/>
        <v>91</v>
      </c>
      <c r="C163" s="194"/>
      <c r="D163" s="240" t="s">
        <v>433</v>
      </c>
      <c r="E163" s="186" t="str">
        <f>"Worksheet H-p2 ln "&amp;'WS H-p2 Detail of Tax Amts'!A22&amp;"."&amp;'WS H-p2 Detail of Tax Amts'!E19&amp; " &amp; ln "&amp;'WS H-p2 Detail of Tax Amts'!A22&amp;"."&amp;'WS H-p2 Detail of Tax Amts'!I19&amp;""</f>
        <v>Worksheet H-p2 ln 3.(C) &amp; ln 3.(G)</v>
      </c>
      <c r="F163" s="186"/>
      <c r="G163" s="203">
        <f>'WS H-p2 Detail of Tax Amts'!E22</f>
        <v>12349280</v>
      </c>
      <c r="H163" s="203"/>
      <c r="I163" s="190" t="s">
        <v>422</v>
      </c>
      <c r="J163" s="191">
        <v>1</v>
      </c>
      <c r="K163" s="186"/>
      <c r="L163" s="203">
        <f>'WS H-p2 Detail of Tax Amts'!I22</f>
        <v>12349280</v>
      </c>
      <c r="M163" s="293"/>
      <c r="N163" s="292"/>
      <c r="O163" s="186"/>
    </row>
    <row r="164" spans="2:15">
      <c r="B164" s="170">
        <f t="shared" si="5"/>
        <v>92</v>
      </c>
      <c r="C164" s="171"/>
      <c r="D164" s="241" t="s">
        <v>484</v>
      </c>
      <c r="E164" s="186" t="str">
        <f>"Worksheet H ln "&amp;'WS H-p1 Other Taxes'!A43&amp;"."&amp;'WS H-p1 Other Taxes'!M10&amp;""</f>
        <v>Worksheet H ln 23.(F)</v>
      </c>
      <c r="F164" s="168"/>
      <c r="G164" s="203">
        <f>+'WS H-p1 Other Taxes'!M43</f>
        <v>-7</v>
      </c>
      <c r="H164" s="263"/>
      <c r="I164" s="197" t="s">
        <v>420</v>
      </c>
      <c r="J164" s="191">
        <v>0</v>
      </c>
      <c r="K164" s="168"/>
      <c r="L164" s="257">
        <f>+J164*G164</f>
        <v>0</v>
      </c>
      <c r="M164" s="186"/>
      <c r="N164" s="168"/>
      <c r="O164" s="168"/>
    </row>
    <row r="165" spans="2:15" ht="15.75" thickBot="1">
      <c r="B165" s="170">
        <f t="shared" si="5"/>
        <v>93</v>
      </c>
      <c r="C165" s="171"/>
      <c r="D165" s="241" t="s">
        <v>434</v>
      </c>
      <c r="E165" s="186" t="str">
        <f>"Worksheet H ln "&amp;'WS H-p1 Other Taxes'!A43&amp;"."&amp;'WS H-p1 Other Taxes'!K10&amp;""</f>
        <v>Worksheet H ln 23.(E)</v>
      </c>
      <c r="F165" s="168"/>
      <c r="G165" s="242">
        <f>+'WS H-p1 Other Taxes'!K43</f>
        <v>0</v>
      </c>
      <c r="H165" s="263"/>
      <c r="I165" s="197" t="s">
        <v>764</v>
      </c>
      <c r="J165" s="191">
        <f>J68</f>
        <v>1</v>
      </c>
      <c r="K165" s="168"/>
      <c r="L165" s="266">
        <f>+J165*G165</f>
        <v>0</v>
      </c>
      <c r="M165" s="186"/>
      <c r="N165" s="168"/>
      <c r="O165" s="168"/>
    </row>
    <row r="166" spans="2:15">
      <c r="B166" s="170">
        <f>+B165+1</f>
        <v>94</v>
      </c>
      <c r="C166" s="171"/>
      <c r="D166" s="241" t="s">
        <v>360</v>
      </c>
      <c r="E166" s="196" t="str">
        <f>"(sum lns "&amp;B161&amp;" to "&amp;B165&amp;")"</f>
        <v>(sum lns 89 to 93)</v>
      </c>
      <c r="F166" s="168"/>
      <c r="G166" s="203">
        <f>SUM(G161:G165)</f>
        <v>12349273</v>
      </c>
      <c r="H166" s="186"/>
      <c r="I166" s="197"/>
      <c r="J166" s="294"/>
      <c r="K166" s="168"/>
      <c r="L166" s="257">
        <f>SUM(L161:L165)</f>
        <v>12349280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IF(F340&gt;0,1-(((1-F341)*(1-F340))/(1-F341*F340*F342)),0)</f>
        <v>0.26103399999999999</v>
      </c>
      <c r="H169" s="301"/>
      <c r="I169" s="301"/>
      <c r="K169" s="302"/>
      <c r="L169" s="297"/>
      <c r="M169" s="168"/>
      <c r="N169" s="168"/>
      <c r="O169" s="168"/>
    </row>
    <row r="170" spans="2:15">
      <c r="B170" s="170">
        <f t="shared" si="6"/>
        <v>97</v>
      </c>
      <c r="C170" s="171"/>
      <c r="D170" s="261" t="s">
        <v>133</v>
      </c>
      <c r="E170" s="168"/>
      <c r="F170" s="299"/>
      <c r="G170" s="300">
        <f>IF(L233&gt;0,($G169/(1-$G169))*(1-$L233/$L236),0)</f>
        <v>0.27137661326607793</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1.3532422330662033</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3"/>
      <c r="K174" s="203"/>
      <c r="L174" s="160"/>
      <c r="M174" s="197"/>
      <c r="N174" s="168"/>
      <c r="O174" s="168"/>
    </row>
    <row r="175" spans="2:15">
      <c r="B175" s="170">
        <f t="shared" ref="B175:B181" si="7">+B174+1</f>
        <v>102</v>
      </c>
      <c r="C175" s="171"/>
      <c r="D175" s="240" t="s">
        <v>552</v>
      </c>
      <c r="E175" s="186" t="s">
        <v>765</v>
      </c>
      <c r="F175" s="1235"/>
      <c r="G175" s="149">
        <v>528575.21432106732</v>
      </c>
      <c r="H175" s="348"/>
      <c r="I175" s="315" t="s">
        <v>640</v>
      </c>
      <c r="J175" s="191">
        <f>NP_h</f>
        <v>1</v>
      </c>
      <c r="K175" s="203"/>
      <c r="L175" s="189">
        <f>+G175*J175</f>
        <v>528575.21432106732</v>
      </c>
      <c r="M175" s="168"/>
      <c r="N175" s="168"/>
      <c r="O175" s="168"/>
    </row>
    <row r="176" spans="2:15">
      <c r="B176" s="170">
        <f t="shared" si="7"/>
        <v>103</v>
      </c>
      <c r="C176" s="171"/>
      <c r="D176" s="240" t="s">
        <v>639</v>
      </c>
      <c r="E176" s="186" t="s">
        <v>765</v>
      </c>
      <c r="F176" s="1235"/>
      <c r="G176" s="149">
        <v>325364.69999999995</v>
      </c>
      <c r="H176" s="348"/>
      <c r="I176" s="315" t="s">
        <v>640</v>
      </c>
      <c r="J176" s="191">
        <f>NP_h</f>
        <v>1</v>
      </c>
      <c r="K176" s="203"/>
      <c r="L176" s="189">
        <f>+G176*J176</f>
        <v>325364.69999999995</v>
      </c>
      <c r="M176" s="168"/>
      <c r="N176" s="168"/>
      <c r="O176" s="168"/>
    </row>
    <row r="177" spans="2:15">
      <c r="B177" s="170">
        <f t="shared" si="7"/>
        <v>104</v>
      </c>
      <c r="C177" s="171"/>
      <c r="D177" s="307" t="s">
        <v>135</v>
      </c>
      <c r="E177" s="312" t="str">
        <f>"(ln "&amp;B170&amp;" * ln "&amp;B183&amp;")"</f>
        <v>(ln 97 * ln 109)</v>
      </c>
      <c r="F177" s="313"/>
      <c r="G177" s="203">
        <f>+G170*G183</f>
        <v>31196845.139262628</v>
      </c>
      <c r="H177" s="348"/>
      <c r="I177" s="283"/>
      <c r="J177" s="1236"/>
      <c r="K177" s="203"/>
      <c r="L177" s="203">
        <f>+L183*G170</f>
        <v>32854600.642282177</v>
      </c>
      <c r="M177" s="168"/>
      <c r="N177" s="168"/>
      <c r="O177" s="168"/>
    </row>
    <row r="178" spans="2:15">
      <c r="B178" s="170">
        <f t="shared" si="7"/>
        <v>105</v>
      </c>
      <c r="C178" s="171"/>
      <c r="D178" s="327" t="s">
        <v>136</v>
      </c>
      <c r="E178" s="312" t="str">
        <f>"(ln "&amp;B173&amp;" * ln "&amp;B174&amp;")"</f>
        <v>(ln 100 * ln 101)</v>
      </c>
      <c r="F178" s="312"/>
      <c r="G178" s="189">
        <f>G173*G174</f>
        <v>0</v>
      </c>
      <c r="H178" s="348"/>
      <c r="I178" s="315" t="s">
        <v>640</v>
      </c>
      <c r="J178" s="191">
        <f>NP_h</f>
        <v>1</v>
      </c>
      <c r="K178" s="203"/>
      <c r="L178" s="189">
        <f>+G178*J178</f>
        <v>0</v>
      </c>
      <c r="M178" s="168"/>
      <c r="N178" s="168"/>
      <c r="O178" s="168"/>
    </row>
    <row r="179" spans="2:15">
      <c r="B179" s="170">
        <f t="shared" si="7"/>
        <v>106</v>
      </c>
      <c r="C179" s="171"/>
      <c r="D179" s="327" t="s">
        <v>552</v>
      </c>
      <c r="E179" s="312" t="str">
        <f>"(ln "&amp;B173&amp;" * ln "&amp;B175&amp;")"</f>
        <v>(ln 100 * ln 102)</v>
      </c>
      <c r="F179" s="312"/>
      <c r="G179" s="189">
        <f>G173*G175</f>
        <v>715290.30337128812</v>
      </c>
      <c r="H179" s="348"/>
      <c r="I179" s="315"/>
      <c r="J179" s="191"/>
      <c r="K179" s="203"/>
      <c r="L179" s="189">
        <f>G173*L175</f>
        <v>715290.30337128812</v>
      </c>
      <c r="M179" s="168"/>
      <c r="N179" s="168"/>
      <c r="O179" s="168"/>
    </row>
    <row r="180" spans="2:15">
      <c r="B180" s="170">
        <f t="shared" si="7"/>
        <v>107</v>
      </c>
      <c r="C180" s="171"/>
      <c r="D180" s="240" t="s">
        <v>639</v>
      </c>
      <c r="E180" s="312" t="str">
        <f>"(ln "&amp;B173&amp;" * ln "&amp;B176&amp;")"</f>
        <v>(ln 100 * ln 103)</v>
      </c>
      <c r="F180" s="312"/>
      <c r="G180" s="1237">
        <f>G173*G176</f>
        <v>440297.25318891526</v>
      </c>
      <c r="H180" s="348"/>
      <c r="I180" s="315"/>
      <c r="J180" s="191"/>
      <c r="K180" s="203"/>
      <c r="L180" s="1237">
        <f>G173*L176</f>
        <v>440297.25318891526</v>
      </c>
      <c r="M180" s="168"/>
      <c r="N180" s="168"/>
      <c r="O180" s="168"/>
    </row>
    <row r="181" spans="2:15">
      <c r="B181" s="256">
        <f t="shared" si="7"/>
        <v>108</v>
      </c>
      <c r="C181" s="171"/>
      <c r="D181" s="298" t="s">
        <v>361</v>
      </c>
      <c r="E181" s="168" t="str">
        <f>"(sum lns "&amp;B177&amp;" to "&amp;B180&amp;")"</f>
        <v>(sum lns 104 to 107)</v>
      </c>
      <c r="F181" s="312"/>
      <c r="G181" s="315">
        <f>SUM(G177:G180)</f>
        <v>32352432.695822831</v>
      </c>
      <c r="H181" s="209"/>
      <c r="I181" s="213" t="s">
        <v>408</v>
      </c>
      <c r="J181" s="316"/>
      <c r="K181" s="257"/>
      <c r="L181" s="315">
        <f>SUM(L177:L180)</f>
        <v>34010188.198842384</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483</v>
      </c>
      <c r="E183" s="307" t="str">
        <f>"(ln "&amp;B112&amp;" * ln "&amp;B236&amp;")"</f>
        <v>(ln 58 * ln 139)</v>
      </c>
      <c r="F183" s="268"/>
      <c r="G183" s="317">
        <f>+$L236*G112</f>
        <v>114957751.0154676</v>
      </c>
      <c r="H183" s="186"/>
      <c r="I183" s="213"/>
      <c r="J183" s="257"/>
      <c r="K183" s="257"/>
      <c r="L183" s="317">
        <f>+L236*L112</f>
        <v>121066440.64449677</v>
      </c>
      <c r="M183" s="168"/>
      <c r="N183" s="297"/>
      <c r="O183" s="297"/>
    </row>
    <row r="184" spans="2:15">
      <c r="B184" s="170"/>
      <c r="C184" s="171"/>
      <c r="D184" s="298"/>
      <c r="G184" s="257"/>
      <c r="H184" s="257"/>
      <c r="I184" s="213"/>
      <c r="J184" s="213"/>
      <c r="K184" s="257"/>
      <c r="L184" s="257"/>
      <c r="M184" s="168"/>
    </row>
    <row r="185" spans="2:15">
      <c r="B185" s="170">
        <f>+B183+1</f>
        <v>110</v>
      </c>
      <c r="C185" s="171"/>
      <c r="D185" s="318" t="s">
        <v>392</v>
      </c>
      <c r="F185" s="286"/>
      <c r="G185" s="203">
        <f>-'WS D IPP Credits'!C13</f>
        <v>0</v>
      </c>
      <c r="H185" s="203"/>
      <c r="I185" s="265" t="s">
        <v>422</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232894919.81135166</v>
      </c>
      <c r="L191" s="321">
        <f>+L185+L183+L181+L166+L157+L151+L187+L189</f>
        <v>240661371.94340038</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366</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410</v>
      </c>
      <c r="C202" s="171"/>
      <c r="D202" s="323"/>
      <c r="E202" s="165"/>
      <c r="F202" s="165"/>
      <c r="G202" s="165"/>
      <c r="H202" s="165"/>
      <c r="I202" s="165"/>
      <c r="J202" s="165"/>
      <c r="K202" s="165"/>
      <c r="L202" s="165"/>
      <c r="M202" s="168"/>
      <c r="N202" s="160"/>
      <c r="O202" s="160"/>
    </row>
    <row r="203" spans="2:16" ht="15.75" thickBot="1">
      <c r="B203" s="177" t="s">
        <v>411</v>
      </c>
      <c r="C203" s="178"/>
      <c r="D203" s="205" t="s">
        <v>504</v>
      </c>
      <c r="E203" s="181"/>
      <c r="F203" s="181"/>
      <c r="G203" s="181"/>
      <c r="H203" s="181"/>
      <c r="I203" s="181"/>
      <c r="J203" s="181"/>
      <c r="K203" s="160"/>
      <c r="M203" s="168"/>
      <c r="N203" s="160"/>
      <c r="O203" s="160"/>
      <c r="P203" s="173"/>
    </row>
    <row r="204" spans="2:16">
      <c r="B204" s="170">
        <f>+B191+1</f>
        <v>114</v>
      </c>
      <c r="C204" s="171"/>
      <c r="D204" s="181" t="s">
        <v>458</v>
      </c>
      <c r="E204" s="324" t="str">
        <f>"(ln "&amp;B63&amp;")"</f>
        <v>(ln 19)</v>
      </c>
      <c r="F204" s="325"/>
      <c r="H204" s="326"/>
      <c r="I204" s="326"/>
      <c r="J204" s="326"/>
      <c r="K204" s="326"/>
      <c r="L204" s="189">
        <f>+G63</f>
        <v>1894188507.5315385</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505</v>
      </c>
      <c r="E207" s="329" t="str">
        <f>"(ln "&amp;B204&amp;" - ln "&amp;B205&amp;" - ln "&amp;B206&amp;")"</f>
        <v>(ln 114 - ln 115 - ln 116)</v>
      </c>
      <c r="F207" s="325"/>
      <c r="H207" s="326"/>
      <c r="I207" s="326"/>
      <c r="J207" s="231"/>
      <c r="K207" s="326"/>
      <c r="L207" s="189">
        <f>L204-L205-L206</f>
        <v>1894188507.5315385</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506</v>
      </c>
      <c r="E209" s="330" t="str">
        <f>"(ln "&amp;B207&amp;" / ln "&amp;B204&amp;")"</f>
        <v>(ln 117 / ln 114)</v>
      </c>
      <c r="F209" s="331"/>
      <c r="H209" s="332"/>
      <c r="I209" s="333"/>
      <c r="J209" s="333"/>
      <c r="K209" s="334" t="s">
        <v>435</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367</v>
      </c>
      <c r="E211" s="190" t="s">
        <v>137</v>
      </c>
      <c r="F211" s="190" t="s">
        <v>476</v>
      </c>
      <c r="G211" s="338" t="s">
        <v>498</v>
      </c>
      <c r="H211" s="272" t="s">
        <v>412</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421</v>
      </c>
      <c r="E213" s="186" t="s">
        <v>341</v>
      </c>
      <c r="F213" s="143">
        <v>0</v>
      </c>
      <c r="G213" s="142">
        <v>6381644.3099631267</v>
      </c>
      <c r="H213" s="339">
        <f>+F213+G213</f>
        <v>6381644.3099631267</v>
      </c>
      <c r="I213" s="194" t="s">
        <v>414</v>
      </c>
      <c r="J213" s="191">
        <f>L209</f>
        <v>1</v>
      </c>
      <c r="K213" s="340"/>
      <c r="L213" s="257">
        <f>(F213+G213)*J213</f>
        <v>6381644.3099631267</v>
      </c>
      <c r="M213" s="168"/>
    </row>
    <row r="214" spans="2:24">
      <c r="B214" s="170">
        <f t="shared" si="8"/>
        <v>122</v>
      </c>
      <c r="C214" s="194"/>
      <c r="D214" s="240" t="s">
        <v>544</v>
      </c>
      <c r="E214" s="168" t="s">
        <v>254</v>
      </c>
      <c r="F214" s="143">
        <v>0</v>
      </c>
      <c r="G214" s="143">
        <v>0</v>
      </c>
      <c r="H214" s="257">
        <f>+F214+G214</f>
        <v>0</v>
      </c>
      <c r="I214" s="197" t="s">
        <v>420</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485</v>
      </c>
      <c r="E216" s="168" t="s">
        <v>206</v>
      </c>
      <c r="F216" s="141">
        <v>0</v>
      </c>
      <c r="G216" s="141">
        <v>0</v>
      </c>
      <c r="H216" s="266">
        <f>+F216+G216</f>
        <v>0</v>
      </c>
      <c r="I216" s="197" t="s">
        <v>420</v>
      </c>
      <c r="J216" s="191">
        <v>0</v>
      </c>
      <c r="K216" s="340"/>
      <c r="L216" s="266">
        <f>(F216+G216)*J216</f>
        <v>0</v>
      </c>
      <c r="M216" s="168"/>
    </row>
    <row r="217" spans="2:24" ht="15.75">
      <c r="B217" s="170">
        <f t="shared" si="8"/>
        <v>125</v>
      </c>
      <c r="C217" s="194"/>
      <c r="D217" s="240" t="s">
        <v>412</v>
      </c>
      <c r="E217" s="186" t="str">
        <f>"(sum lns "&amp;B213&amp;", "&amp;B214&amp;", &amp; "&amp;B216&amp;")"</f>
        <v>(sum lns 121, 122, &amp; 124)</v>
      </c>
      <c r="F217" s="257">
        <f>SUM(F212:F216)</f>
        <v>0</v>
      </c>
      <c r="G217" s="186">
        <f>SUM(G212:G216)</f>
        <v>6381644.3099631267</v>
      </c>
      <c r="H217" s="186">
        <f>SUM(H212:H216)</f>
        <v>6381644.3099631267</v>
      </c>
      <c r="I217" s="197"/>
      <c r="J217" s="168"/>
      <c r="K217" s="168"/>
      <c r="L217" s="257">
        <f>SUM(L212:L216)</f>
        <v>6381644.3099631267</v>
      </c>
      <c r="M217" s="223"/>
    </row>
    <row r="218" spans="2:24">
      <c r="B218" s="170"/>
      <c r="C218" s="194"/>
      <c r="D218" s="240" t="s">
        <v>408</v>
      </c>
      <c r="E218" s="186" t="s">
        <v>408</v>
      </c>
      <c r="F218" s="186"/>
      <c r="G218" s="160"/>
      <c r="H218" s="186"/>
      <c r="I218" s="271"/>
    </row>
    <row r="219" spans="2:24" ht="15.75">
      <c r="B219" s="170">
        <f>B217+1</f>
        <v>126</v>
      </c>
      <c r="C219" s="171"/>
      <c r="D219" s="241" t="s">
        <v>368</v>
      </c>
      <c r="E219" s="186"/>
      <c r="F219" s="186"/>
      <c r="G219" s="186"/>
      <c r="H219" s="186"/>
      <c r="I219" s="271"/>
      <c r="K219" s="341" t="s">
        <v>369</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482</v>
      </c>
      <c r="E222" s="186"/>
      <c r="F222" s="186"/>
      <c r="G222" s="186"/>
      <c r="H222" s="186"/>
      <c r="I222" s="186"/>
      <c r="J222" s="186"/>
      <c r="K222" s="186"/>
      <c r="L222" s="344" t="s">
        <v>436</v>
      </c>
      <c r="M222" s="168"/>
    </row>
    <row r="223" spans="2:24" ht="15.75">
      <c r="B223" s="170">
        <f>B222+1</f>
        <v>128</v>
      </c>
      <c r="C223" s="171"/>
      <c r="D223" s="186" t="s">
        <v>502</v>
      </c>
      <c r="E223" s="160" t="str">
        <f>"(Worksheet M, ln."&amp;'WS M - Cost of Capital'!A55&amp;", col."&amp;'WS M - Cost of Capital'!E47&amp;")"</f>
        <v>(Worksheet M, ln.36, col.(d))</v>
      </c>
      <c r="F223" s="186"/>
      <c r="G223" s="186"/>
      <c r="H223" s="186"/>
      <c r="I223" s="186"/>
      <c r="J223" s="277" t="s">
        <v>408</v>
      </c>
      <c r="K223" s="186"/>
      <c r="L223" s="345">
        <f>'WS M - Cost of Capital'!E55</f>
        <v>30563034.52</v>
      </c>
      <c r="M223" s="186"/>
      <c r="N223" s="160"/>
      <c r="O223" s="160"/>
      <c r="P223" s="160"/>
      <c r="Q223" s="160"/>
      <c r="R223" s="160"/>
      <c r="S223" s="160"/>
      <c r="T223" s="160"/>
      <c r="U223" s="160"/>
      <c r="V223" s="160"/>
      <c r="W223" s="160"/>
      <c r="X223" s="160"/>
    </row>
    <row r="224" spans="2:24">
      <c r="B224" s="170">
        <f t="shared" ref="B224:B230" si="9">B223+1</f>
        <v>129</v>
      </c>
      <c r="C224" s="171"/>
      <c r="D224" s="186" t="s">
        <v>503</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978874434.79315376</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7">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978874434.79315376</v>
      </c>
      <c r="M230" s="168"/>
    </row>
    <row r="231" spans="2:13" ht="15.75">
      <c r="B231" s="170"/>
      <c r="C231" s="171"/>
      <c r="D231" s="240"/>
      <c r="E231" s="186"/>
      <c r="F231" s="186"/>
      <c r="G231" s="1485" t="s">
        <v>264</v>
      </c>
      <c r="H231" s="1485"/>
      <c r="I231" s="186"/>
      <c r="J231" s="271" t="s">
        <v>437</v>
      </c>
      <c r="K231" s="186"/>
      <c r="L231" s="186"/>
      <c r="M231" s="168"/>
    </row>
    <row r="232" spans="2:13" ht="15.75" thickBot="1">
      <c r="B232" s="170"/>
      <c r="C232" s="171"/>
      <c r="D232" s="240"/>
      <c r="E232" s="160"/>
      <c r="F232" s="186"/>
      <c r="G232" s="350" t="s">
        <v>436</v>
      </c>
      <c r="H232" s="350" t="s">
        <v>438</v>
      </c>
      <c r="I232" s="344" t="s">
        <v>827</v>
      </c>
      <c r="J232" s="351" t="s">
        <v>546</v>
      </c>
      <c r="K232" s="186"/>
      <c r="L232" s="350" t="s">
        <v>439</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408</v>
      </c>
      <c r="G233" s="203">
        <f>'WS M - Cost of Capital'!H42</f>
        <v>838292307.69230771</v>
      </c>
      <c r="H233" s="352">
        <f>IF($G$236=0,0,G233/$G$236)</f>
        <v>0.46131831938863177</v>
      </c>
      <c r="I233" s="1315">
        <f>IF(H235&gt;E238,1-I235,H233)</f>
        <v>0.46131831938863177</v>
      </c>
      <c r="J233" s="352">
        <f>IF(G233=0,0,L223/G233)</f>
        <v>3.6458684207821758E-2</v>
      </c>
      <c r="K233" s="160"/>
      <c r="L233" s="353">
        <f>IF(H235&gt;I235,I233*J233,H233*J233)</f>
        <v>1.6819058925873182E-2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15">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978874434.79315376</v>
      </c>
      <c r="H235" s="355">
        <f>IF($G$236=0,0,G235/$G$236)</f>
        <v>0.53868168061136823</v>
      </c>
      <c r="I235" s="1315">
        <f>IF(H235&gt;E238,E238,H235)</f>
        <v>0.53868168061136823</v>
      </c>
      <c r="J235" s="420">
        <v>0.10349999999999999</v>
      </c>
      <c r="K235" s="160"/>
      <c r="L235" s="356">
        <f>IF(H235&gt;E238,E238*J235,H235*J235)</f>
        <v>5.5753553943276607E-2</v>
      </c>
      <c r="M235" s="168"/>
    </row>
    <row r="236" spans="2:13" ht="15.75">
      <c r="B236" s="170">
        <f>B235+1</f>
        <v>139</v>
      </c>
      <c r="C236" s="171"/>
      <c r="D236" s="240" t="str">
        <f>" Total (Sum lns "&amp;B233&amp;" to "&amp;B235&amp;")"</f>
        <v xml:space="preserve"> Total (Sum lns 136 to 138)</v>
      </c>
      <c r="E236" s="160"/>
      <c r="F236" s="160"/>
      <c r="G236" s="203">
        <f>SUM(G233:G235)</f>
        <v>1817166742.4854615</v>
      </c>
      <c r="H236" s="210">
        <f>SUM(H233:H235)</f>
        <v>1</v>
      </c>
      <c r="I236" s="186"/>
      <c r="J236" s="357"/>
      <c r="K236" s="259" t="s">
        <v>354</v>
      </c>
      <c r="L236" s="358">
        <f>SUM(L233:L235)</f>
        <v>7.2572612869149788E-2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826</v>
      </c>
      <c r="E238" s="1315">
        <v>0.55000000000000004</v>
      </c>
      <c r="F238" s="186"/>
      <c r="G238" s="186"/>
      <c r="H238" s="186"/>
      <c r="I238" s="197"/>
      <c r="J238" s="168"/>
      <c r="K238" s="168"/>
      <c r="L238" s="168"/>
      <c r="M238" s="168"/>
    </row>
    <row r="239" spans="2:13" ht="15.75" hidden="1">
      <c r="B239" s="359"/>
      <c r="C239" s="360"/>
      <c r="D239" s="361" t="s">
        <v>215</v>
      </c>
      <c r="E239" s="362"/>
      <c r="F239" s="363"/>
      <c r="G239" s="364"/>
      <c r="H239" s="363"/>
      <c r="I239" s="363"/>
      <c r="J239" s="363"/>
      <c r="K239" s="365"/>
      <c r="L239" s="366"/>
      <c r="M239" s="168"/>
    </row>
    <row r="240" spans="2:13" ht="15.75" hidden="1" thickBot="1">
      <c r="B240" s="359">
        <f>B236+1</f>
        <v>140</v>
      </c>
      <c r="C240" s="360"/>
      <c r="D240" s="367" t="s">
        <v>482</v>
      </c>
      <c r="E240" s="363"/>
      <c r="F240" s="363"/>
      <c r="G240" s="363"/>
      <c r="H240" s="363"/>
      <c r="I240" s="363"/>
      <c r="J240" s="363"/>
      <c r="K240" s="363"/>
      <c r="L240" s="368" t="s">
        <v>436</v>
      </c>
      <c r="M240" s="168"/>
    </row>
    <row r="241" spans="2:21" hidden="1">
      <c r="B241" s="359">
        <f t="shared" ref="B241:B248" si="10">+B240+1</f>
        <v>141</v>
      </c>
      <c r="C241" s="360"/>
      <c r="D241" s="363" t="s">
        <v>502</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503</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163</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156</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162</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484"/>
      <c r="H249" s="1484"/>
      <c r="I249" s="378"/>
      <c r="J249" s="364"/>
      <c r="K249" s="363"/>
      <c r="L249" s="363"/>
      <c r="M249" s="168"/>
    </row>
    <row r="250" spans="2:21" ht="15.75" hidden="1" thickBot="1">
      <c r="B250" s="359">
        <f>+B248+1</f>
        <v>149</v>
      </c>
      <c r="C250" s="360"/>
      <c r="D250" s="367"/>
      <c r="E250" s="364"/>
      <c r="F250" s="364"/>
      <c r="G250" s="379" t="s">
        <v>438</v>
      </c>
      <c r="H250" s="379" t="s">
        <v>436</v>
      </c>
      <c r="I250" s="378"/>
      <c r="J250" s="380" t="s">
        <v>437</v>
      </c>
      <c r="K250" s="363"/>
      <c r="L250" s="379" t="s">
        <v>439</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354</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468</v>
      </c>
      <c r="C263" s="178"/>
      <c r="D263" s="205"/>
      <c r="E263" s="181"/>
      <c r="F263" s="398" t="s">
        <v>467</v>
      </c>
      <c r="G263" s="186"/>
      <c r="H263" s="186"/>
      <c r="I263" s="186"/>
      <c r="J263" s="186" t="s">
        <v>625</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324</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440</v>
      </c>
      <c r="C268" s="178"/>
      <c r="D268" s="205" t="s">
        <v>266</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164</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165</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267</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268</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166</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167</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605</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592</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606</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593</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273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441</v>
      </c>
      <c r="C281" s="194"/>
      <c r="D281" s="1486" t="s">
        <v>607</v>
      </c>
      <c r="E281" s="1487"/>
      <c r="F281" s="1487"/>
      <c r="G281" s="1487"/>
      <c r="H281" s="1487"/>
      <c r="I281" s="1487"/>
      <c r="J281" s="1487"/>
      <c r="K281" s="1487"/>
      <c r="L281" s="205"/>
      <c r="M281" s="181"/>
      <c r="N281" s="181"/>
      <c r="O281" s="181"/>
      <c r="P281" s="181"/>
      <c r="Q281" s="181"/>
      <c r="R281" s="181"/>
      <c r="S281" s="181"/>
      <c r="T281" s="181"/>
      <c r="U281" s="181"/>
    </row>
    <row r="282" spans="2:21">
      <c r="B282" s="193"/>
      <c r="C282" s="194"/>
      <c r="D282" s="1487"/>
      <c r="E282" s="1487"/>
      <c r="F282" s="1487"/>
      <c r="G282" s="1487"/>
      <c r="H282" s="1487"/>
      <c r="I282" s="1487"/>
      <c r="J282" s="1487"/>
      <c r="K282" s="1487"/>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442</v>
      </c>
      <c r="C284" s="194"/>
      <c r="D284" s="395" t="s">
        <v>803</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443</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279</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285</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154</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594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595</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596</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100</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444</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445</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501</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446</v>
      </c>
      <c r="C305" s="160"/>
      <c r="D305" s="1500"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500"/>
      <c r="F305" s="1500"/>
      <c r="G305" s="1500"/>
      <c r="H305" s="1500"/>
      <c r="I305" s="1500"/>
      <c r="J305" s="1500"/>
      <c r="K305" s="1500"/>
      <c r="L305" s="160"/>
      <c r="M305" s="160"/>
      <c r="N305" s="181"/>
      <c r="O305" s="181"/>
      <c r="P305" s="181"/>
      <c r="Q305" s="181"/>
      <c r="R305" s="181"/>
      <c r="S305" s="181"/>
      <c r="T305" s="181"/>
      <c r="U305" s="181"/>
    </row>
    <row r="306" spans="2:21" ht="45" customHeight="1">
      <c r="B306" s="399"/>
      <c r="C306" s="160"/>
      <c r="D306" s="1500"/>
      <c r="E306" s="1500"/>
      <c r="F306" s="1500"/>
      <c r="G306" s="1500"/>
      <c r="H306" s="1500"/>
      <c r="I306" s="1500"/>
      <c r="J306" s="1500"/>
      <c r="K306" s="1500"/>
      <c r="L306" s="160"/>
      <c r="M306" s="160"/>
      <c r="N306" s="181"/>
      <c r="O306" s="181"/>
      <c r="P306" s="181"/>
      <c r="Q306" s="181"/>
      <c r="R306" s="181"/>
      <c r="S306" s="181"/>
      <c r="T306" s="181"/>
      <c r="U306" s="181"/>
    </row>
    <row r="307" spans="2:21" ht="5.25" hidden="1" customHeight="1">
      <c r="B307" s="399"/>
      <c r="C307" s="160"/>
      <c r="D307" s="1500"/>
      <c r="E307" s="1500"/>
      <c r="F307" s="1500"/>
      <c r="G307" s="1500"/>
      <c r="H307" s="1500"/>
      <c r="I307" s="1500"/>
      <c r="J307" s="1500"/>
      <c r="K307" s="1500"/>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447</v>
      </c>
      <c r="C309" s="160"/>
      <c r="D309" s="1503"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503"/>
      <c r="F309" s="1503"/>
      <c r="G309" s="1503"/>
      <c r="H309" s="1503"/>
      <c r="I309" s="1503"/>
      <c r="J309" s="1503"/>
      <c r="K309" s="1503"/>
      <c r="L309" s="160"/>
      <c r="M309" s="160"/>
      <c r="N309" s="181"/>
      <c r="O309" s="181"/>
      <c r="P309" s="181"/>
      <c r="Q309" s="181"/>
      <c r="R309" s="181"/>
      <c r="S309" s="181"/>
      <c r="T309" s="181"/>
      <c r="U309" s="181"/>
    </row>
    <row r="310" spans="2:21">
      <c r="B310" s="399"/>
      <c r="C310" s="160"/>
      <c r="D310" s="1503"/>
      <c r="E310" s="1503"/>
      <c r="F310" s="1503"/>
      <c r="G310" s="1503"/>
      <c r="H310" s="1503"/>
      <c r="I310" s="1503"/>
      <c r="J310" s="1503"/>
      <c r="K310" s="1503"/>
      <c r="L310" s="160"/>
      <c r="M310" s="160"/>
      <c r="N310" s="181"/>
      <c r="O310" s="181"/>
      <c r="P310" s="181"/>
      <c r="Q310" s="181"/>
      <c r="R310" s="181"/>
      <c r="S310" s="181"/>
      <c r="T310" s="181"/>
      <c r="U310" s="181"/>
    </row>
    <row r="311" spans="2:21">
      <c r="B311" s="399"/>
      <c r="C311" s="160"/>
      <c r="D311" s="1504"/>
      <c r="E311" s="1504"/>
      <c r="F311" s="1504"/>
      <c r="G311" s="1504"/>
      <c r="H311" s="1504"/>
      <c r="I311" s="1504"/>
      <c r="J311" s="1504"/>
      <c r="K311" s="1504"/>
      <c r="L311" s="160"/>
      <c r="M311" s="160"/>
      <c r="N311" s="181"/>
      <c r="O311" s="181"/>
      <c r="P311" s="181"/>
      <c r="Q311" s="181"/>
      <c r="R311" s="181"/>
      <c r="S311" s="181"/>
      <c r="T311" s="181"/>
      <c r="U311" s="181"/>
    </row>
    <row r="312" spans="2:21">
      <c r="B312" s="399"/>
      <c r="C312" s="160"/>
      <c r="D312" s="1505"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505"/>
      <c r="F312" s="1505"/>
      <c r="G312" s="1505"/>
      <c r="H312" s="1505"/>
      <c r="I312" s="1505"/>
      <c r="J312" s="1505"/>
      <c r="K312" s="408"/>
      <c r="L312" s="160"/>
      <c r="M312" s="160"/>
      <c r="N312" s="181"/>
      <c r="O312" s="181"/>
      <c r="P312" s="181"/>
      <c r="Q312" s="181"/>
      <c r="R312" s="181"/>
      <c r="S312" s="181"/>
      <c r="T312" s="181"/>
      <c r="U312" s="181"/>
    </row>
    <row r="313" spans="2:21">
      <c r="B313" s="399"/>
      <c r="C313" s="160"/>
      <c r="D313" s="1505"/>
      <c r="E313" s="1505"/>
      <c r="F313" s="1505"/>
      <c r="G313" s="1505"/>
      <c r="H313" s="1505"/>
      <c r="I313" s="1505"/>
      <c r="J313" s="1505"/>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448</v>
      </c>
      <c r="C316" s="160"/>
      <c r="D316" s="407" t="s">
        <v>597</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449</v>
      </c>
      <c r="C318" s="160"/>
      <c r="D318" s="1507" t="s">
        <v>7</v>
      </c>
      <c r="E318" s="1487"/>
      <c r="F318" s="1487"/>
      <c r="G318" s="1487"/>
      <c r="H318" s="1487"/>
      <c r="I318" s="1487"/>
      <c r="J318" s="1487"/>
      <c r="K318" s="407"/>
      <c r="L318" s="160"/>
      <c r="M318" s="160"/>
      <c r="N318" s="181"/>
      <c r="O318" s="181"/>
      <c r="P318" s="181"/>
      <c r="Q318" s="181"/>
      <c r="R318" s="181"/>
      <c r="S318" s="181"/>
      <c r="T318" s="181"/>
      <c r="U318" s="181"/>
    </row>
    <row r="319" spans="2:21">
      <c r="B319" s="399"/>
      <c r="C319" s="160"/>
      <c r="D319" s="1508"/>
      <c r="E319" s="1508"/>
      <c r="F319" s="1508"/>
      <c r="G319" s="1508"/>
      <c r="H319" s="1508"/>
      <c r="I319" s="1508"/>
      <c r="J319" s="1508"/>
      <c r="K319" s="410"/>
      <c r="L319" s="160"/>
      <c r="M319" s="160"/>
      <c r="N319" s="181"/>
      <c r="O319" s="181"/>
      <c r="P319" s="181"/>
      <c r="Q319" s="181"/>
      <c r="R319" s="181"/>
      <c r="S319" s="181"/>
      <c r="T319" s="181"/>
      <c r="U319" s="181"/>
    </row>
    <row r="320" spans="2:21">
      <c r="B320" s="399"/>
      <c r="C320" s="160"/>
      <c r="D320" s="1487"/>
      <c r="E320" s="1487"/>
      <c r="F320" s="1487"/>
      <c r="G320" s="1487"/>
      <c r="H320" s="1487"/>
      <c r="I320" s="1487"/>
      <c r="J320" s="1487"/>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450</v>
      </c>
      <c r="C322" s="160"/>
      <c r="D322" s="1501" t="s">
        <v>801</v>
      </c>
      <c r="E322" s="1502"/>
      <c r="F322" s="1502"/>
      <c r="G322" s="1502"/>
      <c r="H322" s="1502"/>
      <c r="I322" s="1502"/>
      <c r="J322" s="1502"/>
      <c r="K322" s="1502"/>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451</v>
      </c>
      <c r="C324" s="194"/>
      <c r="D324" s="205" t="s">
        <v>150</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269</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270</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271</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452</v>
      </c>
      <c r="C329" s="194"/>
      <c r="D329" s="1506" t="s">
        <v>802</v>
      </c>
      <c r="E329" s="1506"/>
      <c r="F329" s="1506"/>
      <c r="G329" s="1506"/>
      <c r="H329" s="1506"/>
      <c r="I329" s="1506"/>
      <c r="J329" s="1506"/>
      <c r="K329" s="1506"/>
      <c r="L329" s="1506"/>
      <c r="M329" s="160"/>
      <c r="N329" s="181"/>
      <c r="O329" s="181"/>
      <c r="P329" s="181"/>
      <c r="Q329" s="181"/>
      <c r="R329" s="181"/>
      <c r="S329" s="181"/>
      <c r="T329" s="181"/>
      <c r="U329" s="181"/>
    </row>
    <row r="330" spans="2:21">
      <c r="B330" s="193"/>
      <c r="C330" s="194"/>
      <c r="D330" s="1506"/>
      <c r="E330" s="1506"/>
      <c r="F330" s="1506"/>
      <c r="G330" s="1506"/>
      <c r="H330" s="1506"/>
      <c r="I330" s="1506"/>
      <c r="J330" s="1506"/>
      <c r="K330" s="1506"/>
      <c r="L330" s="1506"/>
      <c r="M330" s="160"/>
      <c r="N330" s="181"/>
      <c r="O330" s="181"/>
      <c r="P330" s="181"/>
      <c r="Q330" s="181"/>
      <c r="R330" s="181"/>
      <c r="S330" s="181"/>
      <c r="T330" s="181"/>
      <c r="U330" s="181"/>
    </row>
    <row r="331" spans="2:21">
      <c r="B331" s="193"/>
      <c r="C331" s="194"/>
      <c r="D331" s="1506"/>
      <c r="E331" s="1506"/>
      <c r="F331" s="1506"/>
      <c r="G331" s="1506"/>
      <c r="H331" s="1506"/>
      <c r="I331" s="1506"/>
      <c r="J331" s="1506"/>
      <c r="K331" s="1506"/>
      <c r="L331" s="1506"/>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588</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99</v>
      </c>
      <c r="C335" s="194"/>
      <c r="D335" s="205" t="s">
        <v>138</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139</v>
      </c>
      <c r="E340" s="181" t="s">
        <v>140</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141</v>
      </c>
      <c r="F341" s="401">
        <f>+'WS G  State Tax Rate'!F29</f>
        <v>6.4600000000000005E-2</v>
      </c>
      <c r="G341" s="181" t="s">
        <v>293</v>
      </c>
      <c r="H341" s="160"/>
      <c r="I341" s="160"/>
      <c r="J341" s="160"/>
      <c r="K341" s="160"/>
      <c r="L341" s="160"/>
      <c r="M341" s="160"/>
      <c r="N341" s="181"/>
      <c r="O341" s="181"/>
      <c r="P341" s="181"/>
      <c r="Q341" s="181"/>
      <c r="R341" s="181"/>
      <c r="S341" s="181"/>
      <c r="T341" s="181"/>
      <c r="U341" s="181"/>
    </row>
    <row r="342" spans="2:21">
      <c r="B342" s="412"/>
      <c r="C342" s="181"/>
      <c r="D342" s="205"/>
      <c r="E342" s="181" t="s">
        <v>142</v>
      </c>
      <c r="F342" s="148">
        <v>0</v>
      </c>
      <c r="G342" s="181" t="s">
        <v>143</v>
      </c>
      <c r="H342" s="160"/>
      <c r="I342" s="160"/>
      <c r="J342" s="160"/>
      <c r="K342" s="160"/>
      <c r="L342" s="160"/>
      <c r="M342" s="160"/>
      <c r="N342" s="181"/>
      <c r="O342" s="181"/>
      <c r="P342" s="181"/>
      <c r="Q342" s="181"/>
      <c r="R342" s="181"/>
      <c r="S342" s="181"/>
      <c r="T342" s="181"/>
      <c r="U342" s="181"/>
    </row>
    <row r="343" spans="2:21" ht="46.5" customHeight="1">
      <c r="B343" s="271"/>
      <c r="C343" s="194"/>
      <c r="D343" s="1509" t="s">
        <v>598</v>
      </c>
      <c r="E343" s="1509"/>
      <c r="F343" s="1509"/>
      <c r="G343" s="1509"/>
      <c r="H343" s="1509"/>
      <c r="I343" s="1509"/>
      <c r="J343" s="1509"/>
      <c r="K343" s="160"/>
      <c r="L343" s="160"/>
      <c r="M343" s="181"/>
      <c r="N343" s="181"/>
      <c r="O343" s="181"/>
      <c r="P343" s="181"/>
      <c r="Q343" s="181"/>
      <c r="R343" s="181"/>
      <c r="S343" s="181"/>
      <c r="T343" s="181"/>
      <c r="U343" s="181"/>
    </row>
    <row r="344" spans="2:21">
      <c r="B344" s="193" t="s">
        <v>144</v>
      </c>
      <c r="C344" s="194"/>
      <c r="D344" s="205" t="s">
        <v>541</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145</v>
      </c>
      <c r="C346" s="194"/>
      <c r="D346" s="205" t="s">
        <v>351</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146</v>
      </c>
      <c r="C348" s="194"/>
      <c r="D348" s="205" t="s">
        <v>618</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147</v>
      </c>
      <c r="C350" s="414"/>
      <c r="D350" s="1488" t="s">
        <v>1000</v>
      </c>
      <c r="E350" s="1488"/>
      <c r="F350" s="1488"/>
      <c r="G350" s="1488"/>
      <c r="H350" s="1488"/>
      <c r="I350" s="1488"/>
      <c r="J350" s="1488"/>
      <c r="M350" s="173"/>
      <c r="N350" s="173"/>
      <c r="O350" s="181"/>
      <c r="P350" s="181"/>
      <c r="Q350" s="181"/>
      <c r="R350" s="181"/>
      <c r="S350" s="181"/>
      <c r="T350" s="181"/>
      <c r="U350" s="181"/>
    </row>
    <row r="351" spans="2:21" ht="15.75" customHeight="1">
      <c r="B351" s="414"/>
      <c r="C351" s="414"/>
      <c r="D351" s="1488" t="s">
        <v>1001</v>
      </c>
      <c r="E351" s="1488"/>
      <c r="F351" s="1488"/>
      <c r="G351" s="1488"/>
      <c r="H351" s="1488"/>
      <c r="I351" s="1488"/>
      <c r="J351" s="1488"/>
      <c r="M351" s="173"/>
      <c r="N351" s="173"/>
      <c r="O351" s="181"/>
      <c r="P351" s="181"/>
      <c r="Q351" s="181"/>
      <c r="R351" s="181"/>
      <c r="S351" s="181"/>
      <c r="T351" s="181"/>
      <c r="U351" s="181"/>
    </row>
    <row r="352" spans="2:21" ht="15.75">
      <c r="B352" s="414"/>
      <c r="C352" s="414"/>
      <c r="D352" s="1488"/>
      <c r="E352" s="1488"/>
      <c r="F352" s="1488"/>
      <c r="G352" s="1488"/>
      <c r="H352" s="1488"/>
      <c r="I352" s="1488"/>
      <c r="J352" s="1488"/>
      <c r="M352" s="173"/>
      <c r="N352" s="173"/>
      <c r="O352" s="181"/>
      <c r="P352" s="181"/>
      <c r="Q352" s="181"/>
      <c r="R352" s="181"/>
      <c r="S352" s="181"/>
      <c r="T352" s="181"/>
      <c r="U352" s="181"/>
    </row>
    <row r="353" spans="2:21" ht="95.25" customHeight="1">
      <c r="B353" s="414"/>
      <c r="C353" s="414"/>
      <c r="D353" s="1488"/>
      <c r="E353" s="1488"/>
      <c r="F353" s="1488"/>
      <c r="G353" s="1488"/>
      <c r="H353" s="1488"/>
      <c r="I353" s="1488"/>
      <c r="J353" s="1488"/>
      <c r="M353" s="173"/>
      <c r="N353" s="173"/>
      <c r="O353" s="181"/>
      <c r="P353" s="181"/>
      <c r="Q353" s="181"/>
      <c r="R353" s="181"/>
      <c r="S353" s="181"/>
      <c r="T353" s="181"/>
      <c r="U353" s="181"/>
    </row>
    <row r="354" spans="2:21" ht="0.75" hidden="1" customHeight="1">
      <c r="B354" s="414"/>
      <c r="C354" s="414"/>
      <c r="D354" s="1270"/>
      <c r="E354" s="1270"/>
      <c r="F354" s="1270"/>
      <c r="G354" s="1270"/>
      <c r="H354" s="1270"/>
      <c r="I354" s="1270"/>
      <c r="J354" s="1270"/>
      <c r="M354" s="173"/>
      <c r="N354" s="173"/>
      <c r="O354" s="181"/>
      <c r="P354" s="181"/>
      <c r="Q354" s="181"/>
      <c r="R354" s="181"/>
      <c r="S354" s="181"/>
      <c r="T354" s="181"/>
      <c r="U354" s="181"/>
    </row>
    <row r="355" spans="2:21" ht="54.75" hidden="1" customHeight="1">
      <c r="B355" s="414"/>
      <c r="C355" s="414"/>
      <c r="D355" s="1270"/>
      <c r="E355" s="1270"/>
      <c r="F355" s="1270"/>
      <c r="G355" s="1270"/>
      <c r="H355" s="1270"/>
      <c r="I355" s="1270"/>
      <c r="J355" s="1270"/>
      <c r="M355" s="173"/>
      <c r="N355" s="173"/>
      <c r="O355" s="181"/>
      <c r="P355" s="181"/>
      <c r="Q355" s="181"/>
      <c r="R355" s="181"/>
      <c r="S355" s="181"/>
      <c r="T355" s="181"/>
      <c r="U355" s="181"/>
    </row>
    <row r="356" spans="2:21" ht="16.5" customHeight="1">
      <c r="B356" s="414"/>
      <c r="C356" s="414"/>
      <c r="D356" s="1270"/>
      <c r="E356" s="1270"/>
      <c r="F356" s="1270"/>
      <c r="G356" s="1270"/>
      <c r="H356" s="1270"/>
      <c r="I356" s="1270"/>
      <c r="J356" s="1270"/>
      <c r="M356" s="173"/>
      <c r="N356" s="173"/>
      <c r="O356" s="181"/>
      <c r="P356" s="181"/>
      <c r="Q356" s="181"/>
      <c r="R356" s="181"/>
      <c r="S356" s="181"/>
      <c r="T356" s="181"/>
      <c r="U356" s="181"/>
    </row>
    <row r="357" spans="2:21" ht="98.25" customHeight="1">
      <c r="B357" s="193" t="s">
        <v>193</v>
      </c>
      <c r="C357" s="414"/>
      <c r="D357" s="1498" t="s">
        <v>766</v>
      </c>
      <c r="E357" s="1499"/>
      <c r="F357" s="1499"/>
      <c r="G357" s="1499"/>
      <c r="H357" s="1499"/>
      <c r="I357" s="1499"/>
      <c r="J357" s="1499"/>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553</v>
      </c>
      <c r="C359" s="417"/>
      <c r="D359" s="1497" t="s">
        <v>599</v>
      </c>
      <c r="E359" s="1497"/>
      <c r="F359" s="1497"/>
      <c r="G359" s="1497"/>
      <c r="H359" s="1497"/>
      <c r="I359" s="1497"/>
      <c r="J359" s="1497"/>
      <c r="K359" s="418"/>
      <c r="M359" s="181"/>
      <c r="N359" s="181"/>
      <c r="O359" s="181"/>
      <c r="P359" s="181"/>
      <c r="Q359" s="181"/>
      <c r="R359" s="181"/>
      <c r="S359" s="181"/>
      <c r="T359" s="181"/>
      <c r="U359" s="181"/>
    </row>
    <row r="360" spans="2:21">
      <c r="B360" s="193"/>
      <c r="C360" s="194"/>
      <c r="D360" s="155" t="s">
        <v>408</v>
      </c>
      <c r="M360" s="181"/>
      <c r="N360" s="181"/>
      <c r="O360" s="181"/>
      <c r="P360" s="181"/>
      <c r="Q360" s="181"/>
      <c r="R360" s="181"/>
      <c r="S360" s="181"/>
      <c r="T360" s="181"/>
      <c r="U360" s="181"/>
    </row>
    <row r="361" spans="2:21">
      <c r="B361" s="193" t="s">
        <v>600</v>
      </c>
      <c r="C361" s="194"/>
      <c r="D361" s="155" t="s">
        <v>601</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602</v>
      </c>
      <c r="C363" s="194"/>
      <c r="D363" s="1497" t="s">
        <v>603</v>
      </c>
      <c r="E363" s="1497"/>
      <c r="F363" s="1497"/>
      <c r="G363" s="1497"/>
      <c r="H363" s="1497"/>
      <c r="I363" s="1497"/>
      <c r="J363" s="1497"/>
      <c r="K363" s="1497"/>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604</v>
      </c>
      <c r="C365" s="173"/>
      <c r="D365" s="1497" t="s">
        <v>608</v>
      </c>
      <c r="E365" s="1497"/>
      <c r="F365" s="1497"/>
      <c r="G365" s="1497"/>
      <c r="H365" s="1497"/>
      <c r="I365" s="1497"/>
      <c r="J365" s="1497"/>
      <c r="K365" s="1497"/>
      <c r="M365" s="181"/>
      <c r="N365" s="181"/>
      <c r="O365" s="181"/>
      <c r="P365" s="181"/>
      <c r="Q365" s="181"/>
      <c r="R365" s="181"/>
      <c r="S365" s="181"/>
      <c r="T365" s="181"/>
      <c r="U365" s="181"/>
    </row>
    <row r="366" spans="2:21">
      <c r="B366" s="1238" t="s">
        <v>641</v>
      </c>
      <c r="C366" s="1239"/>
      <c r="D366" s="1240" t="s">
        <v>642</v>
      </c>
      <c r="E366" s="1241"/>
      <c r="F366" s="1241"/>
      <c r="G366" s="1241"/>
      <c r="H366" s="1025"/>
      <c r="M366" s="181"/>
      <c r="N366" s="181"/>
      <c r="O366" s="181"/>
      <c r="P366" s="181"/>
      <c r="Q366" s="181"/>
      <c r="R366" s="181"/>
      <c r="S366" s="181"/>
      <c r="T366" s="181"/>
      <c r="U366" s="181"/>
    </row>
    <row r="367" spans="2:21">
      <c r="B367" s="1316" t="s">
        <v>828</v>
      </c>
      <c r="C367" s="393"/>
      <c r="D367" s="1496" t="s">
        <v>829</v>
      </c>
      <c r="E367" s="1496"/>
      <c r="F367" s="1496"/>
      <c r="G367" s="1496"/>
      <c r="H367" s="1496"/>
      <c r="I367" s="1496"/>
      <c r="J367" s="1496"/>
      <c r="K367" s="1496"/>
      <c r="M367" s="181"/>
      <c r="N367" s="181"/>
      <c r="O367" s="181"/>
      <c r="P367" s="181"/>
      <c r="Q367" s="181"/>
      <c r="R367" s="181"/>
      <c r="S367" s="181"/>
      <c r="T367" s="181"/>
      <c r="U367" s="181"/>
    </row>
    <row r="368" spans="2:21">
      <c r="B368" s="393"/>
      <c r="C368" s="393"/>
      <c r="D368" s="1496"/>
      <c r="E368" s="1496"/>
      <c r="F368" s="1496"/>
      <c r="G368" s="1496"/>
      <c r="H368" s="1496"/>
      <c r="I368" s="1496"/>
      <c r="J368" s="1496"/>
      <c r="K368" s="1496"/>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O38"/>
  <sheetViews>
    <sheetView view="pageBreakPreview" zoomScale="85" zoomScaleNormal="100" zoomScaleSheetLayoutView="85"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422"/>
      <c r="G3" s="422"/>
      <c r="H3" s="422"/>
      <c r="I3" s="422"/>
      <c r="J3" s="422"/>
      <c r="K3" s="422"/>
      <c r="L3" s="422"/>
      <c r="M3" s="422"/>
      <c r="N3" s="422"/>
      <c r="O3" s="422"/>
    </row>
    <row r="4" spans="1:15" ht="15">
      <c r="A4" s="1543" t="str">
        <f>"Cost of Service Formula Rate Using Actual/Projected FF1 Balances"</f>
        <v>Cost of Service Formula Rate Using Actual/Projected FF1 Balances</v>
      </c>
      <c r="B4" s="1543"/>
      <c r="C4" s="1543"/>
      <c r="D4" s="1543"/>
      <c r="E4" s="1543"/>
      <c r="F4" s="424"/>
      <c r="G4" s="424"/>
      <c r="H4" s="424"/>
      <c r="I4" s="424"/>
      <c r="J4" s="424"/>
      <c r="K4" s="424"/>
      <c r="L4" s="424"/>
      <c r="M4" s="442"/>
      <c r="N4" s="442"/>
      <c r="O4" s="442"/>
    </row>
    <row r="5" spans="1:15" ht="15">
      <c r="A5" s="1543" t="s">
        <v>545</v>
      </c>
      <c r="B5" s="1543"/>
      <c r="C5" s="1543"/>
      <c r="D5" s="1543"/>
      <c r="E5" s="1543"/>
      <c r="F5" s="424"/>
      <c r="G5" s="424"/>
      <c r="H5" s="424"/>
      <c r="I5" s="424"/>
      <c r="J5" s="424"/>
      <c r="K5" s="424"/>
      <c r="L5" s="424"/>
      <c r="M5" s="424"/>
      <c r="N5" s="424"/>
      <c r="O5" s="424"/>
    </row>
    <row r="6" spans="1:15" ht="15">
      <c r="A6" s="1544" t="str">
        <f>TCOS!F9</f>
        <v>West Virginia Transmission Company</v>
      </c>
      <c r="B6" s="1544"/>
      <c r="C6" s="1544"/>
      <c r="D6" s="1544"/>
      <c r="E6" s="1544"/>
      <c r="F6" s="169"/>
      <c r="G6" s="169"/>
      <c r="H6" s="169"/>
      <c r="I6" s="169"/>
      <c r="J6" s="169"/>
      <c r="K6" s="169"/>
      <c r="L6" s="169"/>
      <c r="M6" s="169"/>
      <c r="N6" s="169"/>
      <c r="O6" s="169"/>
    </row>
    <row r="8" spans="1:15">
      <c r="A8" s="502" t="s">
        <v>461</v>
      </c>
      <c r="B8" s="503" t="s">
        <v>454</v>
      </c>
      <c r="C8" s="503" t="s">
        <v>455</v>
      </c>
    </row>
    <row r="9" spans="1:15">
      <c r="A9" s="502" t="s">
        <v>399</v>
      </c>
      <c r="B9" s="502" t="s">
        <v>459</v>
      </c>
      <c r="C9" s="502">
        <f>+TCOS!L4</f>
        <v>2022</v>
      </c>
    </row>
    <row r="10" spans="1:15">
      <c r="A10" s="504"/>
      <c r="B10" s="505"/>
      <c r="C10" s="503"/>
    </row>
    <row r="11" spans="1:15">
      <c r="A11" s="273">
        <v>1</v>
      </c>
      <c r="B11" s="1248" t="str">
        <f>"Net Funds from IPP Customers 12/31/"&amp;TCOS!L4-1&amp;" ("&amp;TCOS!L4&amp;" FORM 1, P269)"</f>
        <v>Net Funds from IPP Customers 12/31/2021 (2022 FORM 1, P269)</v>
      </c>
      <c r="C11" s="518">
        <v>0</v>
      </c>
      <c r="D11" s="393"/>
    </row>
    <row r="12" spans="1:15">
      <c r="B12" s="348"/>
      <c r="D12" s="393"/>
    </row>
    <row r="13" spans="1:15">
      <c r="A13" s="506">
        <v>2</v>
      </c>
      <c r="B13" s="1248" t="s">
        <v>251</v>
      </c>
      <c r="C13" s="518">
        <v>0</v>
      </c>
      <c r="D13" s="393"/>
    </row>
    <row r="14" spans="1:15">
      <c r="A14" s="506"/>
      <c r="B14" s="1248"/>
      <c r="D14" s="393"/>
    </row>
    <row r="15" spans="1:15">
      <c r="A15" s="506">
        <f>+A13+1</f>
        <v>3</v>
      </c>
      <c r="B15" s="1248" t="s">
        <v>329</v>
      </c>
      <c r="C15" s="518">
        <v>0</v>
      </c>
      <c r="D15" s="393"/>
    </row>
    <row r="16" spans="1:15">
      <c r="A16" s="506"/>
      <c r="B16" s="1248"/>
      <c r="D16" s="393"/>
    </row>
    <row r="17" spans="1:4">
      <c r="A17" s="506">
        <f>+A15+1</f>
        <v>4</v>
      </c>
      <c r="B17" s="1249" t="s">
        <v>0</v>
      </c>
      <c r="D17" s="393"/>
    </row>
    <row r="18" spans="1:4">
      <c r="A18" s="507">
        <f>+A17+1</f>
        <v>5</v>
      </c>
      <c r="B18" s="1248" t="s">
        <v>330</v>
      </c>
      <c r="C18" s="518">
        <v>0</v>
      </c>
      <c r="D18" s="393"/>
    </row>
    <row r="19" spans="1:4">
      <c r="A19" s="507">
        <f>+A18+1</f>
        <v>6</v>
      </c>
      <c r="B19" s="1250" t="s">
        <v>408</v>
      </c>
      <c r="C19" s="518">
        <v>0</v>
      </c>
      <c r="D19" s="393"/>
    </row>
    <row r="20" spans="1:4">
      <c r="A20" s="507"/>
      <c r="B20" s="348"/>
      <c r="C20" s="510"/>
      <c r="D20" s="393"/>
    </row>
    <row r="21" spans="1:4">
      <c r="A21" s="507">
        <f>+A19+1</f>
        <v>7</v>
      </c>
      <c r="B21" s="1248" t="str">
        <f>"Net Funds from IPP Customers 12/31/"&amp;TCOS!L4&amp;" ("&amp;TCOS!L4&amp;" FORM 1, P269)"</f>
        <v>Net Funds from IPP Customers 12/31/2022 (2022 FORM 1, P269)</v>
      </c>
      <c r="C21" s="511">
        <f>+C11+C13+C15+C18+C19</f>
        <v>0</v>
      </c>
      <c r="D21" s="512"/>
    </row>
    <row r="22" spans="1:4">
      <c r="A22" s="507"/>
      <c r="B22" s="509"/>
      <c r="D22" s="393"/>
    </row>
    <row r="23" spans="1:4">
      <c r="A23" s="507">
        <f>+A21+1</f>
        <v>8</v>
      </c>
      <c r="B23" s="508" t="str">
        <f>"Average Balance for Year as Indicated in Column ((ln "&amp;A11&amp;" + ln "&amp;A21&amp;")/2)"</f>
        <v>Average Balance for Year as Indicated in Column ((ln 1 + ln 7)/2)</v>
      </c>
      <c r="C23" s="513">
        <f>AVERAGE(C21,C11)</f>
        <v>0</v>
      </c>
      <c r="D23" s="393"/>
    </row>
    <row r="24" spans="1:4">
      <c r="A24" s="507"/>
      <c r="B24" s="509"/>
      <c r="D24" s="393"/>
    </row>
    <row r="25" spans="1:4">
      <c r="A25" s="507"/>
      <c r="B25" s="509"/>
      <c r="C25" s="511"/>
      <c r="D25" s="393"/>
    </row>
    <row r="26" spans="1:4" ht="15">
      <c r="A26" s="514" t="s">
        <v>287</v>
      </c>
      <c r="B26" s="1551" t="str">
        <f>"On this worksheet Company Records refers to  "&amp;A6&amp;"'s general ledger."</f>
        <v>On this worksheet Company Records refers to  West Virginia Transmission Company's general ledger.</v>
      </c>
      <c r="C26" s="411"/>
      <c r="D26" s="393"/>
    </row>
    <row r="27" spans="1:4">
      <c r="A27" s="515"/>
      <c r="B27" s="1552"/>
      <c r="D27" s="393"/>
    </row>
    <row r="28" spans="1:4">
      <c r="D28" s="393"/>
    </row>
    <row r="29" spans="1:4">
      <c r="D29" s="393"/>
    </row>
    <row r="30" spans="1:4">
      <c r="D30" s="393"/>
    </row>
    <row r="31" spans="1:4">
      <c r="D31" s="393"/>
    </row>
    <row r="32" spans="1:4">
      <c r="D32" s="516"/>
    </row>
    <row r="33" spans="1:4">
      <c r="D33" s="393"/>
    </row>
    <row r="34" spans="1:4">
      <c r="D34" s="393"/>
    </row>
    <row r="35" spans="1:4">
      <c r="D35" s="393"/>
    </row>
    <row r="36" spans="1:4">
      <c r="A36" s="504"/>
      <c r="B36" s="393"/>
      <c r="C36" s="393"/>
      <c r="D36" s="393"/>
    </row>
    <row r="37" spans="1:4">
      <c r="A37" s="504"/>
      <c r="B37" s="393"/>
      <c r="C37" s="393"/>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O151"/>
  <sheetViews>
    <sheetView topLeftCell="A7" zoomScaleNormal="100" workbookViewId="0">
      <selection activeCell="I22" sqref="I22"/>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8" t="s">
        <v>408</v>
      </c>
    </row>
    <row r="2" spans="1:22" ht="15.75">
      <c r="A2" s="1008" t="s">
        <v>408</v>
      </c>
    </row>
    <row r="3" spans="1:22">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422"/>
      <c r="M3" s="422"/>
      <c r="N3" s="422"/>
      <c r="O3" s="422"/>
    </row>
    <row r="4" spans="1:22">
      <c r="A4" s="1543" t="str">
        <f>"Cost of Service Formula Rate Using Actual/Projected FF1 Balances"</f>
        <v>Cost of Service Formula Rate Using Actual/Projected FF1 Balances</v>
      </c>
      <c r="B4" s="1543"/>
      <c r="C4" s="1543"/>
      <c r="D4" s="1543"/>
      <c r="E4" s="1543"/>
      <c r="F4" s="1543"/>
      <c r="G4" s="1543"/>
      <c r="H4" s="1543"/>
      <c r="I4" s="1543"/>
      <c r="J4" s="1543"/>
      <c r="K4" s="1543"/>
      <c r="L4" s="442"/>
      <c r="M4" s="442"/>
      <c r="N4" s="442"/>
      <c r="O4" s="442"/>
    </row>
    <row r="5" spans="1:22">
      <c r="A5" s="1543" t="s">
        <v>22</v>
      </c>
      <c r="B5" s="1543"/>
      <c r="C5" s="1543"/>
      <c r="D5" s="1543"/>
      <c r="E5" s="1543"/>
      <c r="F5" s="1543"/>
      <c r="G5" s="1543"/>
      <c r="H5" s="1543"/>
      <c r="I5" s="1543"/>
      <c r="J5" s="1543"/>
      <c r="K5" s="1543"/>
      <c r="L5" s="424"/>
      <c r="M5" s="424"/>
      <c r="N5" s="424"/>
      <c r="O5" s="424"/>
    </row>
    <row r="6" spans="1:22">
      <c r="A6" s="1544" t="str">
        <f>TCOS!F9</f>
        <v>West Virginia Transmission Company</v>
      </c>
      <c r="B6" s="1544"/>
      <c r="C6" s="1544"/>
      <c r="D6" s="1544"/>
      <c r="E6" s="1544"/>
      <c r="F6" s="1544"/>
      <c r="G6" s="1544"/>
      <c r="H6" s="1544"/>
      <c r="I6" s="1544"/>
      <c r="J6" s="1544"/>
      <c r="K6" s="1544"/>
      <c r="L6" s="169"/>
      <c r="M6" s="169"/>
      <c r="N6" s="169"/>
      <c r="O6" s="169"/>
    </row>
    <row r="7" spans="1:22">
      <c r="A7" s="520"/>
      <c r="B7" s="520"/>
      <c r="C7" s="520"/>
      <c r="D7" s="520"/>
      <c r="E7" s="520"/>
      <c r="F7" s="520"/>
      <c r="G7" s="520"/>
      <c r="H7" s="520"/>
      <c r="I7" s="520"/>
      <c r="J7" s="520"/>
      <c r="K7" s="520"/>
      <c r="L7" s="520"/>
      <c r="M7" s="520"/>
      <c r="N7" s="520"/>
      <c r="O7" s="520"/>
    </row>
    <row r="8" spans="1:22" ht="18">
      <c r="A8" s="1555"/>
      <c r="B8" s="1555"/>
      <c r="C8" s="1555"/>
      <c r="D8" s="1555"/>
      <c r="E8" s="1555"/>
      <c r="F8" s="1555"/>
      <c r="G8" s="1555"/>
      <c r="H8" s="1555"/>
      <c r="I8" s="1555"/>
      <c r="J8" s="1555"/>
      <c r="K8" s="1555"/>
      <c r="L8" s="522"/>
      <c r="M8" s="523"/>
    </row>
    <row r="9" spans="1:22" ht="18">
      <c r="A9" s="521"/>
      <c r="B9" s="521"/>
      <c r="C9" s="521"/>
      <c r="D9" s="521"/>
      <c r="E9" s="521"/>
      <c r="F9" s="521"/>
      <c r="G9" s="521"/>
      <c r="H9" s="521"/>
      <c r="I9" s="521"/>
      <c r="J9" s="521"/>
      <c r="K9" s="521"/>
      <c r="L9" s="522"/>
      <c r="M9" s="523"/>
    </row>
    <row r="10" spans="1:22" ht="15.75">
      <c r="A10" s="524" t="s">
        <v>461</v>
      </c>
      <c r="B10" s="522"/>
      <c r="C10" s="525"/>
      <c r="D10" s="525"/>
      <c r="E10" s="525"/>
      <c r="F10" s="525"/>
      <c r="G10" s="526"/>
      <c r="H10" s="526"/>
      <c r="I10" s="524" t="s">
        <v>474</v>
      </c>
      <c r="J10" s="524" t="s">
        <v>357</v>
      </c>
      <c r="K10" s="527"/>
      <c r="N10" s="528"/>
      <c r="P10" s="528"/>
      <c r="R10" s="528"/>
      <c r="S10" s="528"/>
      <c r="T10" s="528"/>
      <c r="U10" s="395"/>
      <c r="V10" s="395"/>
    </row>
    <row r="11" spans="1:22" ht="15.75">
      <c r="A11" s="524" t="s">
        <v>399</v>
      </c>
      <c r="B11" s="1556" t="s">
        <v>459</v>
      </c>
      <c r="C11" s="1556"/>
      <c r="D11" s="1556"/>
      <c r="E11" s="1556"/>
      <c r="F11" s="1556"/>
      <c r="G11" s="1556"/>
      <c r="H11" s="1556"/>
      <c r="I11" s="529" t="s">
        <v>475</v>
      </c>
      <c r="J11" s="529" t="s">
        <v>409</v>
      </c>
      <c r="K11" s="529" t="s">
        <v>409</v>
      </c>
      <c r="N11" s="528"/>
      <c r="O11" s="528"/>
      <c r="P11" s="528"/>
      <c r="Q11" s="528"/>
      <c r="R11" s="528"/>
      <c r="S11" s="528"/>
      <c r="T11" s="530"/>
      <c r="U11" s="395"/>
      <c r="V11" s="395"/>
    </row>
    <row r="12" spans="1:22" ht="15.75">
      <c r="A12" s="526"/>
      <c r="B12" s="531"/>
      <c r="C12" s="522"/>
      <c r="D12" s="526"/>
      <c r="E12" s="526"/>
      <c r="F12" s="526"/>
      <c r="G12" s="526"/>
      <c r="H12" s="526"/>
      <c r="I12" s="526"/>
      <c r="J12" s="526"/>
      <c r="K12" s="532"/>
      <c r="N12" s="528"/>
      <c r="O12" s="528"/>
      <c r="P12" s="528"/>
      <c r="Q12" s="528"/>
      <c r="R12" s="528"/>
      <c r="S12" s="528"/>
      <c r="T12" s="530"/>
      <c r="U12" s="395"/>
      <c r="V12" s="395"/>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v>21592.37</v>
      </c>
      <c r="J17" s="538">
        <f>+I17-K17</f>
        <v>0</v>
      </c>
      <c r="K17" s="559">
        <f>I17</f>
        <v>21592.37</v>
      </c>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4">
        <v>4</v>
      </c>
      <c r="B19" s="1251" t="s">
        <v>771</v>
      </c>
      <c r="C19" s="348"/>
      <c r="D19" s="1252"/>
      <c r="E19" s="1252"/>
      <c r="F19" s="1252"/>
      <c r="G19" s="1005"/>
      <c r="H19" s="1252"/>
      <c r="I19" s="559"/>
      <c r="J19" s="538">
        <f>+I19-K19</f>
        <v>0</v>
      </c>
      <c r="K19" s="559"/>
      <c r="N19" s="545"/>
      <c r="O19" s="314"/>
      <c r="P19" s="314"/>
      <c r="Q19" s="314"/>
      <c r="R19" s="314"/>
      <c r="S19" s="314"/>
      <c r="T19" s="314"/>
      <c r="U19" s="314"/>
      <c r="V19" s="314"/>
    </row>
    <row r="20" spans="1:22" s="535" customFormat="1" ht="12.75">
      <c r="A20" s="1004"/>
      <c r="B20" s="1251"/>
      <c r="C20" s="348"/>
      <c r="D20" s="1252"/>
      <c r="E20" s="1252"/>
      <c r="F20" s="1252"/>
      <c r="G20" s="1005"/>
      <c r="H20" s="1252"/>
      <c r="I20" s="314"/>
      <c r="J20" s="314"/>
      <c r="K20" s="314"/>
      <c r="L20" s="314"/>
      <c r="N20" s="545"/>
      <c r="O20" s="314"/>
      <c r="P20" s="314"/>
      <c r="Q20" s="314"/>
      <c r="R20" s="314"/>
      <c r="S20" s="314"/>
      <c r="T20" s="314"/>
      <c r="U20" s="314"/>
      <c r="V20" s="314"/>
    </row>
    <row r="21" spans="1:22" s="535" customFormat="1" ht="12.75">
      <c r="A21" s="1004">
        <v>5</v>
      </c>
      <c r="B21" s="1251" t="s">
        <v>772</v>
      </c>
      <c r="C21" s="348"/>
      <c r="D21" s="1252"/>
      <c r="E21" s="1252"/>
      <c r="F21" s="1252"/>
      <c r="G21" s="1005"/>
      <c r="H21" s="1252"/>
      <c r="I21" s="559">
        <v>244458198.34999999</v>
      </c>
      <c r="J21" s="538">
        <f>+I21-K21</f>
        <v>244458198.34999999</v>
      </c>
      <c r="K21" s="559"/>
      <c r="N21" s="545"/>
      <c r="O21" s="314"/>
      <c r="P21" s="314"/>
      <c r="Q21" s="314"/>
      <c r="R21" s="314"/>
      <c r="S21" s="314"/>
      <c r="T21" s="314"/>
      <c r="U21" s="314"/>
      <c r="V21" s="314"/>
    </row>
    <row r="22" spans="1:22" s="535" customFormat="1" ht="12.75">
      <c r="A22" s="1004"/>
      <c r="B22" s="1251"/>
      <c r="C22" s="348"/>
      <c r="D22" s="1252"/>
      <c r="E22" s="1252"/>
      <c r="F22" s="1252"/>
      <c r="G22" s="1005"/>
      <c r="H22" s="1252"/>
      <c r="I22" s="559"/>
      <c r="J22" s="538"/>
      <c r="K22" s="559"/>
      <c r="N22" s="545"/>
      <c r="O22" s="314"/>
      <c r="P22" s="314"/>
      <c r="Q22" s="314"/>
      <c r="R22" s="314"/>
      <c r="S22" s="314"/>
      <c r="T22" s="314"/>
      <c r="U22" s="314"/>
      <c r="V22" s="314"/>
    </row>
    <row r="23" spans="1:22" s="535" customFormat="1" ht="12.75">
      <c r="A23" s="1004" t="s">
        <v>627</v>
      </c>
      <c r="B23" s="1251" t="s">
        <v>628</v>
      </c>
      <c r="C23" s="348"/>
      <c r="D23" s="1252"/>
      <c r="E23" s="1252"/>
      <c r="F23" s="1252"/>
      <c r="G23" s="1005"/>
      <c r="H23" s="1252"/>
      <c r="I23" s="1006"/>
      <c r="J23" s="1007">
        <v>0</v>
      </c>
      <c r="K23" s="1006"/>
      <c r="N23" s="545"/>
      <c r="O23" s="314"/>
      <c r="P23" s="314"/>
      <c r="Q23" s="314"/>
      <c r="R23" s="314"/>
      <c r="S23" s="314"/>
      <c r="T23" s="314"/>
      <c r="U23" s="314"/>
      <c r="V23" s="314"/>
    </row>
    <row r="24" spans="1:22" s="535" customFormat="1" ht="12.75">
      <c r="A24" s="1004"/>
      <c r="B24" s="1251"/>
      <c r="C24" s="348"/>
      <c r="D24" s="1252"/>
      <c r="E24" s="1252"/>
      <c r="F24" s="1252"/>
      <c r="G24" s="1005"/>
      <c r="H24" s="1252"/>
      <c r="I24" s="1006"/>
      <c r="J24" s="1007"/>
      <c r="K24" s="1006"/>
      <c r="N24" s="545"/>
      <c r="O24" s="314"/>
      <c r="P24" s="314"/>
      <c r="Q24" s="314"/>
      <c r="R24" s="314"/>
      <c r="S24" s="314"/>
      <c r="T24" s="314"/>
      <c r="U24" s="314"/>
      <c r="V24" s="314"/>
    </row>
    <row r="25" spans="1:22" s="535" customFormat="1" ht="12.75">
      <c r="A25" s="1004" t="s">
        <v>629</v>
      </c>
      <c r="B25" s="1251" t="s">
        <v>630</v>
      </c>
      <c r="C25" s="348"/>
      <c r="D25" s="1252"/>
      <c r="E25" s="1252"/>
      <c r="F25" s="1252"/>
      <c r="G25" s="1005"/>
      <c r="H25" s="1252"/>
      <c r="I25" s="1006"/>
      <c r="J25" s="1007">
        <v>0</v>
      </c>
      <c r="K25" s="1006"/>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327</v>
      </c>
      <c r="D27" s="536"/>
      <c r="E27" s="536"/>
      <c r="F27" s="537"/>
      <c r="G27" s="543"/>
      <c r="H27" s="537"/>
      <c r="I27" s="547">
        <f>+I21+I19+I17+I15+I13+I23+I25</f>
        <v>244479790.72</v>
      </c>
      <c r="J27" s="547">
        <f>+J21+J19+J17+J15+J13+J23+J25</f>
        <v>244458198.34999999</v>
      </c>
      <c r="K27" s="547">
        <f>+K21+K19+K17+K15+K13+K23+K25</f>
        <v>21592.37</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554" t="s">
        <v>12</v>
      </c>
      <c r="C29" s="1487"/>
      <c r="D29" s="1487"/>
      <c r="E29" s="1487"/>
      <c r="F29" s="1487"/>
      <c r="G29" s="1487"/>
      <c r="H29" s="541"/>
      <c r="I29" s="559"/>
      <c r="J29" s="538">
        <f>+I29-K29</f>
        <v>0</v>
      </c>
      <c r="K29" s="559"/>
      <c r="N29" s="314"/>
      <c r="O29" s="314"/>
      <c r="P29" s="314"/>
      <c r="Q29" s="314"/>
      <c r="R29" s="314"/>
      <c r="S29" s="314"/>
      <c r="T29" s="314"/>
      <c r="U29" s="314"/>
      <c r="V29" s="314"/>
    </row>
    <row r="30" spans="1:22" s="535" customFormat="1" ht="12.75">
      <c r="A30" s="533"/>
      <c r="B30" s="1487"/>
      <c r="C30" s="1487"/>
      <c r="D30" s="1487"/>
      <c r="E30" s="1487"/>
      <c r="F30" s="1487"/>
      <c r="G30" s="1487"/>
      <c r="H30" s="537"/>
      <c r="I30" s="546"/>
      <c r="J30" s="537"/>
      <c r="K30" s="548"/>
      <c r="N30" s="314"/>
      <c r="O30" s="314"/>
      <c r="P30" s="314"/>
      <c r="Q30" s="314"/>
      <c r="R30" s="314"/>
      <c r="S30" s="314"/>
      <c r="T30" s="314"/>
      <c r="U30" s="314"/>
      <c r="V30" s="314"/>
    </row>
    <row r="31" spans="1:22" s="535" customFormat="1" ht="12.75">
      <c r="A31" s="533">
        <f>+A29+1</f>
        <v>8</v>
      </c>
      <c r="B31" s="549" t="s">
        <v>499</v>
      </c>
      <c r="D31" s="536"/>
      <c r="E31" s="536"/>
      <c r="F31" s="537"/>
      <c r="G31" s="543"/>
      <c r="H31" s="537"/>
      <c r="I31" s="550">
        <f>+I27+I29</f>
        <v>244479790.72</v>
      </c>
      <c r="J31" s="550">
        <f>+J27+J29</f>
        <v>244458198.34999999</v>
      </c>
      <c r="K31" s="550">
        <f>+K27+K29</f>
        <v>21592.37</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549</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5"/>
      <c r="O35" s="525"/>
      <c r="P35" s="525"/>
      <c r="Q35" s="525"/>
      <c r="R35" s="525"/>
      <c r="S35" s="395"/>
      <c r="T35" s="395"/>
      <c r="U35" s="395"/>
      <c r="V35" s="395"/>
    </row>
    <row r="36" spans="1:41" s="535" customFormat="1" ht="12.75" customHeight="1">
      <c r="A36" s="209" t="s">
        <v>287</v>
      </c>
      <c r="B36" s="155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553"/>
      <c r="D36" s="1553"/>
      <c r="E36" s="1553"/>
      <c r="F36" s="1553"/>
      <c r="G36" s="1553"/>
      <c r="H36" s="1553"/>
      <c r="I36" s="1553"/>
      <c r="J36" s="1553"/>
      <c r="K36" s="314"/>
      <c r="L36" s="314"/>
      <c r="M36" s="314"/>
      <c r="N36" s="314"/>
      <c r="O36" s="314"/>
      <c r="P36" s="314"/>
      <c r="Q36" s="314"/>
      <c r="R36" s="314"/>
      <c r="S36" s="314"/>
      <c r="T36" s="539"/>
      <c r="U36" s="314"/>
      <c r="V36" s="314"/>
    </row>
    <row r="37" spans="1:41" s="535" customFormat="1" ht="12.75">
      <c r="A37" s="314"/>
      <c r="B37" s="1553"/>
      <c r="C37" s="1553"/>
      <c r="D37" s="1553"/>
      <c r="E37" s="1553"/>
      <c r="F37" s="1553"/>
      <c r="G37" s="1553"/>
      <c r="H37" s="1553"/>
      <c r="I37" s="1553"/>
      <c r="J37" s="1553"/>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631</v>
      </c>
      <c r="B38" s="1253" t="s">
        <v>632</v>
      </c>
      <c r="C38" s="1076"/>
      <c r="D38" s="1076"/>
      <c r="E38" s="1076"/>
      <c r="F38" s="1076"/>
      <c r="G38" s="1076"/>
      <c r="H38" s="1076"/>
      <c r="I38" s="1076"/>
      <c r="J38" s="1003"/>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5"/>
      <c r="B39" s="394"/>
      <c r="E39" s="557"/>
      <c r="F39" s="557"/>
      <c r="G39" s="557"/>
      <c r="H39" s="557"/>
      <c r="I39" s="557"/>
      <c r="J39" s="557"/>
      <c r="K39" s="557"/>
      <c r="L39" s="394"/>
      <c r="M39" s="557"/>
      <c r="N39" s="557"/>
      <c r="O39" s="557"/>
      <c r="P39" s="557"/>
      <c r="Q39" s="557"/>
      <c r="R39" s="394"/>
      <c r="S39" s="394"/>
      <c r="T39" s="394"/>
      <c r="U39" s="394"/>
      <c r="V39" s="394"/>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5"/>
      <c r="B40" s="394"/>
      <c r="E40" s="557"/>
      <c r="F40" s="557"/>
      <c r="G40" s="557"/>
      <c r="H40" s="557"/>
      <c r="I40" s="557"/>
      <c r="J40" s="557"/>
      <c r="K40" s="557"/>
      <c r="L40" s="394"/>
      <c r="M40" s="557"/>
      <c r="N40" s="557"/>
      <c r="O40" s="557"/>
      <c r="P40" s="557"/>
      <c r="Q40" s="557"/>
      <c r="R40" s="394"/>
      <c r="S40" s="394"/>
      <c r="T40" s="394"/>
      <c r="U40" s="394"/>
      <c r="V40" s="394"/>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5"/>
      <c r="B41" s="394"/>
      <c r="E41" s="557"/>
      <c r="F41" s="557"/>
      <c r="G41" s="557"/>
      <c r="H41" s="557"/>
      <c r="I41" s="557"/>
      <c r="J41" s="557"/>
      <c r="K41" s="557"/>
      <c r="L41" s="394"/>
      <c r="M41" s="557"/>
      <c r="N41" s="557"/>
      <c r="O41" s="557"/>
      <c r="P41" s="557"/>
      <c r="Q41" s="557"/>
      <c r="R41" s="394"/>
      <c r="S41" s="394"/>
      <c r="T41" s="394"/>
      <c r="U41" s="394"/>
      <c r="V41" s="394"/>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5"/>
      <c r="B42" s="394"/>
      <c r="E42" s="557"/>
      <c r="F42" s="557"/>
      <c r="G42" s="557"/>
      <c r="H42" s="557"/>
      <c r="I42" s="557"/>
      <c r="J42" s="557"/>
      <c r="K42" s="557"/>
      <c r="L42" s="394"/>
      <c r="M42" s="557"/>
      <c r="N42" s="557"/>
      <c r="O42" s="557"/>
      <c r="P42" s="557"/>
      <c r="Q42" s="557"/>
      <c r="R42" s="394"/>
      <c r="S42" s="394"/>
      <c r="T42" s="394"/>
      <c r="U42" s="394"/>
      <c r="V42" s="394"/>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5"/>
      <c r="B43" s="394"/>
      <c r="E43" s="557"/>
      <c r="F43" s="557"/>
      <c r="G43" s="557"/>
      <c r="H43" s="557"/>
      <c r="I43" s="557"/>
      <c r="J43" s="557"/>
      <c r="K43" s="557"/>
      <c r="L43" s="394"/>
      <c r="M43" s="557"/>
      <c r="N43" s="557"/>
      <c r="O43" s="557"/>
      <c r="P43" s="557"/>
      <c r="Q43" s="557"/>
      <c r="R43" s="394"/>
      <c r="S43" s="394"/>
      <c r="T43" s="394"/>
      <c r="U43" s="394"/>
      <c r="V43" s="394"/>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5"/>
      <c r="B44" s="394"/>
      <c r="E44" s="557"/>
      <c r="F44" s="557"/>
      <c r="G44" s="557"/>
      <c r="H44" s="557"/>
      <c r="I44" s="557"/>
      <c r="J44" s="557"/>
      <c r="K44" s="557"/>
      <c r="L44" s="394"/>
      <c r="M44" s="557"/>
      <c r="N44" s="557"/>
      <c r="O44" s="557"/>
      <c r="P44" s="557"/>
      <c r="Q44" s="557"/>
      <c r="R44" s="394"/>
      <c r="S44" s="394"/>
      <c r="T44" s="394"/>
      <c r="U44" s="394"/>
      <c r="V44" s="394"/>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5"/>
      <c r="B45" s="394"/>
      <c r="E45" s="557"/>
      <c r="F45" s="557"/>
      <c r="G45" s="557"/>
      <c r="H45" s="557"/>
      <c r="I45" s="557"/>
      <c r="J45" s="557"/>
      <c r="K45" s="557"/>
      <c r="L45" s="394"/>
      <c r="M45" s="557"/>
      <c r="N45" s="557"/>
      <c r="O45" s="557"/>
      <c r="P45" s="557"/>
      <c r="Q45" s="557"/>
      <c r="R45" s="394"/>
      <c r="S45" s="394"/>
      <c r="T45" s="394"/>
      <c r="U45" s="394"/>
      <c r="V45" s="394"/>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5"/>
      <c r="B46" s="394"/>
      <c r="E46" s="557"/>
      <c r="F46" s="557"/>
      <c r="G46" s="557"/>
      <c r="H46" s="557"/>
      <c r="I46" s="557"/>
      <c r="J46" s="557"/>
      <c r="K46" s="557"/>
      <c r="L46" s="394"/>
      <c r="M46" s="557"/>
      <c r="N46" s="557"/>
      <c r="O46" s="557"/>
      <c r="P46" s="557"/>
      <c r="Q46" s="557"/>
      <c r="R46" s="394"/>
      <c r="S46" s="394"/>
      <c r="T46" s="394"/>
      <c r="U46" s="394"/>
      <c r="V46" s="394"/>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5"/>
      <c r="B47" s="394"/>
      <c r="E47" s="557"/>
      <c r="F47" s="557"/>
      <c r="G47" s="557"/>
      <c r="H47" s="557"/>
      <c r="I47" s="557"/>
      <c r="J47" s="557"/>
      <c r="K47" s="557"/>
      <c r="L47" s="394"/>
      <c r="M47" s="557"/>
      <c r="N47" s="557"/>
      <c r="O47" s="557"/>
      <c r="P47" s="557"/>
      <c r="Q47" s="557"/>
      <c r="R47" s="394"/>
      <c r="S47" s="394"/>
      <c r="T47" s="394"/>
      <c r="U47" s="394"/>
      <c r="V47" s="394"/>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5"/>
      <c r="B48" s="394"/>
      <c r="E48" s="557"/>
      <c r="F48" s="557"/>
      <c r="G48" s="557"/>
      <c r="H48" s="557"/>
      <c r="I48" s="557"/>
      <c r="J48" s="557"/>
      <c r="K48" s="557"/>
      <c r="L48" s="394"/>
      <c r="M48" s="557"/>
      <c r="N48" s="557"/>
      <c r="O48" s="557"/>
      <c r="P48" s="557"/>
      <c r="Q48" s="557"/>
      <c r="R48" s="394"/>
      <c r="S48" s="394"/>
      <c r="T48" s="394"/>
      <c r="U48" s="394"/>
      <c r="V48" s="394"/>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4"/>
      <c r="M49" s="557"/>
      <c r="N49" s="557"/>
      <c r="O49" s="557"/>
      <c r="P49" s="557"/>
      <c r="Q49" s="557"/>
      <c r="R49" s="394"/>
      <c r="S49" s="394"/>
      <c r="T49" s="394"/>
      <c r="U49" s="394"/>
      <c r="V49" s="394"/>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5"/>
      <c r="B50" s="394"/>
      <c r="E50" s="557"/>
      <c r="F50" s="557"/>
      <c r="G50" s="557"/>
      <c r="H50" s="557"/>
      <c r="I50" s="557"/>
      <c r="J50" s="557"/>
      <c r="K50" s="557"/>
      <c r="L50" s="394"/>
      <c r="M50" s="557"/>
      <c r="N50" s="557"/>
      <c r="O50" s="557"/>
      <c r="P50" s="557"/>
      <c r="Q50" s="557"/>
      <c r="R50" s="394"/>
      <c r="S50" s="394"/>
      <c r="T50" s="394"/>
      <c r="U50" s="394"/>
      <c r="V50" s="394"/>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5"/>
      <c r="B51" s="394"/>
      <c r="E51" s="557"/>
      <c r="F51" s="557"/>
      <c r="G51" s="557"/>
      <c r="H51" s="557"/>
      <c r="I51" s="557"/>
      <c r="J51" s="557"/>
      <c r="K51" s="557"/>
      <c r="L51" s="394"/>
      <c r="M51" s="557"/>
      <c r="N51" s="557"/>
      <c r="O51" s="557"/>
      <c r="P51" s="557"/>
      <c r="Q51" s="557"/>
      <c r="R51" s="394"/>
      <c r="S51" s="394"/>
      <c r="T51" s="394"/>
      <c r="U51" s="394"/>
      <c r="V51" s="394"/>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5"/>
      <c r="B52" s="394"/>
      <c r="E52" s="557"/>
      <c r="F52" s="557"/>
      <c r="G52" s="557"/>
      <c r="H52" s="557"/>
      <c r="I52" s="557"/>
      <c r="J52" s="557"/>
      <c r="K52" s="557"/>
      <c r="L52" s="394"/>
      <c r="M52" s="557"/>
      <c r="N52" s="557"/>
      <c r="O52" s="557"/>
      <c r="P52" s="557"/>
      <c r="Q52" s="557"/>
      <c r="R52" s="394"/>
      <c r="S52" s="394"/>
      <c r="T52" s="394"/>
      <c r="U52" s="394"/>
      <c r="V52" s="394"/>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5"/>
      <c r="B53" s="394"/>
      <c r="E53" s="557"/>
      <c r="F53" s="557"/>
      <c r="G53" s="557"/>
      <c r="H53" s="557"/>
      <c r="I53" s="557"/>
      <c r="J53" s="557"/>
      <c r="K53" s="557"/>
      <c r="L53" s="394"/>
      <c r="M53" s="557"/>
      <c r="N53" s="557"/>
      <c r="O53" s="557"/>
      <c r="P53" s="557"/>
      <c r="Q53" s="557"/>
      <c r="R53" s="394"/>
      <c r="S53" s="394"/>
      <c r="T53" s="394"/>
      <c r="U53" s="394"/>
      <c r="V53" s="394"/>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5"/>
      <c r="B54" s="394"/>
      <c r="E54" s="557"/>
      <c r="F54" s="557"/>
      <c r="G54" s="557"/>
      <c r="H54" s="557"/>
      <c r="I54" s="557"/>
      <c r="J54" s="557"/>
      <c r="K54" s="557"/>
      <c r="L54" s="394"/>
      <c r="M54" s="557"/>
      <c r="N54" s="557"/>
      <c r="O54" s="557"/>
      <c r="P54" s="557"/>
      <c r="Q54" s="557"/>
      <c r="R54" s="394"/>
      <c r="S54" s="394"/>
      <c r="T54" s="394"/>
      <c r="U54" s="394"/>
      <c r="V54" s="394"/>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5"/>
      <c r="B55" s="394"/>
      <c r="E55" s="557"/>
      <c r="F55" s="557"/>
      <c r="G55" s="557"/>
      <c r="H55" s="557"/>
      <c r="I55" s="557"/>
      <c r="J55" s="557"/>
      <c r="K55" s="557"/>
      <c r="L55" s="394"/>
      <c r="M55" s="557"/>
      <c r="N55" s="557"/>
      <c r="O55" s="557"/>
      <c r="P55" s="557"/>
      <c r="Q55" s="557"/>
      <c r="R55" s="394"/>
      <c r="S55" s="394"/>
      <c r="T55" s="394"/>
      <c r="U55" s="394"/>
      <c r="V55" s="394"/>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5"/>
      <c r="B56" s="394"/>
      <c r="E56" s="557"/>
      <c r="F56" s="557"/>
      <c r="G56" s="557"/>
      <c r="H56" s="557"/>
      <c r="I56" s="557"/>
      <c r="J56" s="557"/>
      <c r="K56" s="557"/>
      <c r="L56" s="394"/>
      <c r="M56" s="557"/>
      <c r="N56" s="557"/>
      <c r="O56" s="557"/>
      <c r="P56" s="557"/>
      <c r="Q56" s="557"/>
      <c r="R56" s="394"/>
      <c r="S56" s="394"/>
      <c r="T56" s="394"/>
      <c r="U56" s="394"/>
      <c r="V56" s="394"/>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5"/>
      <c r="B57" s="394"/>
      <c r="E57" s="557"/>
      <c r="F57" s="557"/>
      <c r="G57" s="557"/>
      <c r="H57" s="557"/>
      <c r="I57" s="557"/>
      <c r="J57" s="557"/>
      <c r="K57" s="557"/>
      <c r="L57" s="394"/>
      <c r="M57" s="557"/>
      <c r="N57" s="557"/>
      <c r="O57" s="557"/>
      <c r="P57" s="557"/>
      <c r="Q57" s="557"/>
      <c r="R57" s="394"/>
      <c r="S57" s="394"/>
      <c r="T57" s="394"/>
      <c r="U57" s="394"/>
      <c r="V57" s="394"/>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5"/>
      <c r="B58" s="394"/>
      <c r="E58" s="557"/>
      <c r="F58" s="557"/>
      <c r="G58" s="557"/>
      <c r="H58" s="557"/>
      <c r="I58" s="557"/>
      <c r="J58" s="557"/>
      <c r="K58" s="557"/>
      <c r="L58" s="394"/>
      <c r="M58" s="557"/>
      <c r="N58" s="557"/>
      <c r="O58" s="557"/>
      <c r="P58" s="557"/>
      <c r="Q58" s="557"/>
      <c r="R58" s="394"/>
      <c r="S58" s="394"/>
      <c r="T58" s="394"/>
      <c r="U58" s="394"/>
      <c r="V58" s="394"/>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5"/>
      <c r="B59" s="394"/>
      <c r="E59" s="557"/>
      <c r="F59" s="557"/>
      <c r="G59" s="557"/>
      <c r="H59" s="557"/>
      <c r="I59" s="557"/>
      <c r="J59" s="557"/>
      <c r="K59" s="557"/>
      <c r="L59" s="394"/>
      <c r="M59" s="557"/>
      <c r="N59" s="557"/>
      <c r="O59" s="557"/>
      <c r="P59" s="557"/>
      <c r="Q59" s="557"/>
      <c r="R59" s="394"/>
      <c r="S59" s="394"/>
      <c r="T59" s="394"/>
      <c r="U59" s="394"/>
      <c r="V59" s="394"/>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5"/>
      <c r="B60" s="394"/>
      <c r="E60" s="557"/>
      <c r="F60" s="557"/>
      <c r="G60" s="557"/>
      <c r="H60" s="557"/>
      <c r="I60" s="557"/>
      <c r="J60" s="557"/>
      <c r="K60" s="557"/>
      <c r="L60" s="394"/>
      <c r="M60" s="557"/>
      <c r="N60" s="557"/>
      <c r="O60" s="557"/>
      <c r="P60" s="557"/>
      <c r="Q60" s="557"/>
      <c r="R60" s="394"/>
      <c r="S60" s="394"/>
      <c r="T60" s="394"/>
      <c r="U60" s="394"/>
      <c r="V60" s="394"/>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5"/>
      <c r="B61" s="394"/>
      <c r="E61" s="557"/>
      <c r="F61" s="557"/>
      <c r="G61" s="557"/>
      <c r="H61" s="557"/>
      <c r="I61" s="557"/>
      <c r="J61" s="557"/>
      <c r="K61" s="557"/>
      <c r="L61" s="394"/>
      <c r="M61" s="557"/>
      <c r="N61" s="557"/>
      <c r="O61" s="557"/>
      <c r="P61" s="557"/>
      <c r="Q61" s="557"/>
      <c r="R61" s="394"/>
      <c r="S61" s="394"/>
      <c r="T61" s="394"/>
      <c r="U61" s="394"/>
      <c r="V61" s="394"/>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5"/>
      <c r="B62" s="394"/>
      <c r="E62" s="557"/>
      <c r="F62" s="557"/>
      <c r="G62" s="557"/>
      <c r="H62" s="557"/>
      <c r="I62" s="557"/>
      <c r="J62" s="557"/>
      <c r="K62" s="557"/>
      <c r="L62" s="394"/>
      <c r="M62" s="557"/>
      <c r="N62" s="557"/>
      <c r="O62" s="557"/>
      <c r="P62" s="557"/>
      <c r="Q62" s="557"/>
      <c r="R62" s="394"/>
      <c r="S62" s="394"/>
      <c r="T62" s="394"/>
      <c r="U62" s="394"/>
      <c r="V62" s="394"/>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5"/>
      <c r="B63" s="394"/>
      <c r="E63" s="557"/>
      <c r="F63" s="557"/>
      <c r="G63" s="557"/>
      <c r="H63" s="557"/>
      <c r="I63" s="557"/>
      <c r="J63" s="557"/>
      <c r="K63" s="557"/>
      <c r="L63" s="394"/>
      <c r="M63" s="557"/>
      <c r="N63" s="557"/>
      <c r="O63" s="557"/>
      <c r="P63" s="557"/>
      <c r="Q63" s="557"/>
      <c r="R63" s="394"/>
      <c r="S63" s="394"/>
      <c r="T63" s="394"/>
      <c r="U63" s="394"/>
      <c r="V63" s="394"/>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5"/>
      <c r="B64" s="394"/>
      <c r="E64" s="557"/>
      <c r="F64" s="557"/>
      <c r="G64" s="557"/>
      <c r="H64" s="557"/>
      <c r="I64" s="557"/>
      <c r="J64" s="557"/>
      <c r="K64" s="557"/>
      <c r="L64" s="394"/>
      <c r="M64" s="557"/>
      <c r="N64" s="557"/>
      <c r="O64" s="557"/>
      <c r="P64" s="557"/>
      <c r="Q64" s="557"/>
      <c r="R64" s="394"/>
      <c r="S64" s="394"/>
      <c r="T64" s="394"/>
      <c r="U64" s="394"/>
      <c r="V64" s="394"/>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5"/>
      <c r="B65" s="394"/>
      <c r="E65" s="557"/>
      <c r="F65" s="557"/>
      <c r="G65" s="557"/>
      <c r="H65" s="557"/>
      <c r="I65" s="557"/>
      <c r="J65" s="557"/>
      <c r="K65" s="557"/>
      <c r="L65" s="394"/>
      <c r="M65" s="557"/>
      <c r="N65" s="557"/>
      <c r="O65" s="557"/>
      <c r="P65" s="557"/>
      <c r="Q65" s="557"/>
      <c r="R65" s="394"/>
      <c r="S65" s="394"/>
      <c r="T65" s="394"/>
      <c r="U65" s="394"/>
      <c r="V65" s="394"/>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5"/>
      <c r="B66" s="394"/>
      <c r="E66" s="557"/>
      <c r="F66" s="557"/>
      <c r="G66" s="557"/>
      <c r="H66" s="557"/>
      <c r="I66" s="557"/>
      <c r="J66" s="557"/>
      <c r="K66" s="557"/>
      <c r="L66" s="394"/>
      <c r="M66" s="557"/>
      <c r="N66" s="557"/>
      <c r="O66" s="557"/>
      <c r="P66" s="557"/>
      <c r="Q66" s="557"/>
      <c r="R66" s="394"/>
      <c r="S66" s="394"/>
      <c r="T66" s="394"/>
      <c r="U66" s="394"/>
      <c r="V66" s="394"/>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5"/>
      <c r="B67" s="394"/>
      <c r="E67" s="557"/>
      <c r="F67" s="557"/>
      <c r="G67" s="557"/>
      <c r="H67" s="557"/>
      <c r="I67" s="557"/>
      <c r="J67" s="557"/>
      <c r="K67" s="557"/>
      <c r="L67" s="394"/>
      <c r="M67" s="557"/>
      <c r="N67" s="557"/>
      <c r="O67" s="557"/>
      <c r="P67" s="557"/>
      <c r="Q67" s="557"/>
      <c r="R67" s="394"/>
      <c r="S67" s="394"/>
      <c r="T67" s="394"/>
      <c r="U67" s="394"/>
      <c r="V67" s="394"/>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5"/>
      <c r="B68" s="394"/>
      <c r="E68" s="557"/>
      <c r="F68" s="557"/>
      <c r="G68" s="557"/>
      <c r="H68" s="557"/>
      <c r="I68" s="557"/>
      <c r="J68" s="557"/>
      <c r="K68" s="557"/>
      <c r="L68" s="394"/>
      <c r="M68" s="557"/>
      <c r="N68" s="557"/>
      <c r="O68" s="557"/>
      <c r="P68" s="557"/>
      <c r="Q68" s="557"/>
      <c r="R68" s="394"/>
      <c r="S68" s="394"/>
      <c r="T68" s="394"/>
      <c r="U68" s="394"/>
      <c r="V68" s="394"/>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5"/>
      <c r="B69" s="394"/>
      <c r="E69" s="557"/>
      <c r="F69" s="557"/>
      <c r="G69" s="557"/>
      <c r="H69" s="557"/>
      <c r="I69" s="557"/>
      <c r="J69" s="557"/>
      <c r="K69" s="557"/>
      <c r="L69" s="394"/>
      <c r="M69" s="557"/>
      <c r="N69" s="557"/>
      <c r="O69" s="557"/>
      <c r="P69" s="557"/>
      <c r="Q69" s="557"/>
      <c r="R69" s="394"/>
      <c r="S69" s="394"/>
      <c r="T69" s="394"/>
      <c r="U69" s="394"/>
      <c r="V69" s="394"/>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5"/>
      <c r="B70" s="394"/>
      <c r="E70" s="557"/>
      <c r="F70" s="557"/>
      <c r="G70" s="557"/>
      <c r="H70" s="557"/>
      <c r="I70" s="557"/>
      <c r="J70" s="557"/>
      <c r="K70" s="557"/>
      <c r="L70" s="394"/>
      <c r="M70" s="557"/>
      <c r="N70" s="557"/>
      <c r="O70" s="557"/>
      <c r="P70" s="557"/>
      <c r="Q70" s="557"/>
      <c r="R70" s="394"/>
      <c r="S70" s="394"/>
      <c r="T70" s="394"/>
      <c r="U70" s="394"/>
      <c r="V70" s="394"/>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5"/>
      <c r="B71" s="394"/>
      <c r="E71" s="557"/>
      <c r="F71" s="557"/>
      <c r="G71" s="557"/>
      <c r="H71" s="557"/>
      <c r="I71" s="557"/>
      <c r="J71" s="557"/>
      <c r="K71" s="557"/>
      <c r="L71" s="394"/>
      <c r="M71" s="557"/>
      <c r="N71" s="557"/>
      <c r="O71" s="557"/>
      <c r="P71" s="557"/>
      <c r="Q71" s="557"/>
      <c r="R71" s="394"/>
      <c r="S71" s="394"/>
      <c r="T71" s="394"/>
      <c r="U71" s="394"/>
      <c r="V71" s="394"/>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5"/>
      <c r="B72" s="394"/>
      <c r="E72" s="557"/>
      <c r="F72" s="557"/>
      <c r="G72" s="557"/>
      <c r="H72" s="557"/>
      <c r="I72" s="557"/>
      <c r="J72" s="557"/>
      <c r="K72" s="557"/>
      <c r="L72" s="394"/>
      <c r="M72" s="557"/>
      <c r="N72" s="557"/>
      <c r="O72" s="557"/>
      <c r="P72" s="557"/>
      <c r="Q72" s="557"/>
      <c r="R72" s="394"/>
      <c r="S72" s="394"/>
      <c r="T72" s="394"/>
      <c r="U72" s="394"/>
      <c r="V72" s="394"/>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5"/>
      <c r="B73" s="394"/>
      <c r="E73" s="557"/>
      <c r="F73" s="557"/>
      <c r="G73" s="557"/>
      <c r="H73" s="557"/>
      <c r="I73" s="557"/>
      <c r="J73" s="557"/>
      <c r="K73" s="557"/>
      <c r="L73" s="394"/>
      <c r="M73" s="557"/>
      <c r="N73" s="557"/>
      <c r="O73" s="557"/>
      <c r="P73" s="557"/>
      <c r="Q73" s="557"/>
      <c r="R73" s="394"/>
      <c r="S73" s="394"/>
      <c r="T73" s="394"/>
      <c r="U73" s="394"/>
      <c r="V73" s="394"/>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5"/>
      <c r="B74" s="394"/>
      <c r="E74" s="557"/>
      <c r="F74" s="557"/>
      <c r="G74" s="557"/>
      <c r="H74" s="557"/>
      <c r="I74" s="557"/>
      <c r="J74" s="557"/>
      <c r="K74" s="557"/>
      <c r="L74" s="394"/>
      <c r="M74" s="557"/>
      <c r="N74" s="557"/>
      <c r="O74" s="557"/>
      <c r="P74" s="557"/>
      <c r="Q74" s="557"/>
      <c r="R74" s="394"/>
      <c r="S74" s="394"/>
      <c r="T74" s="394"/>
      <c r="U74" s="394"/>
      <c r="V74" s="394"/>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5"/>
      <c r="B75" s="394"/>
      <c r="E75" s="557"/>
      <c r="F75" s="557"/>
      <c r="G75" s="557"/>
      <c r="H75" s="557"/>
      <c r="I75" s="557"/>
      <c r="J75" s="557"/>
      <c r="K75" s="557"/>
      <c r="L75" s="394"/>
      <c r="M75" s="557"/>
      <c r="N75" s="557"/>
      <c r="O75" s="557"/>
      <c r="P75" s="557"/>
      <c r="Q75" s="557"/>
      <c r="R75" s="394"/>
      <c r="S75" s="394"/>
      <c r="T75" s="394"/>
      <c r="U75" s="394"/>
      <c r="V75" s="394"/>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5"/>
      <c r="B76" s="394"/>
      <c r="E76" s="557"/>
      <c r="F76" s="557"/>
      <c r="G76" s="557"/>
      <c r="H76" s="557"/>
      <c r="I76" s="557"/>
      <c r="J76" s="557"/>
      <c r="K76" s="557"/>
      <c r="L76" s="394"/>
      <c r="M76" s="557"/>
      <c r="N76" s="557"/>
      <c r="O76" s="557"/>
      <c r="P76" s="557"/>
      <c r="Q76" s="557"/>
      <c r="R76" s="394"/>
      <c r="S76" s="394"/>
      <c r="T76" s="394"/>
      <c r="U76" s="394"/>
      <c r="V76" s="394"/>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5"/>
      <c r="B77" s="394"/>
      <c r="E77" s="557"/>
      <c r="F77" s="557"/>
      <c r="G77" s="557"/>
      <c r="H77" s="557"/>
      <c r="I77" s="557"/>
      <c r="J77" s="557"/>
      <c r="K77" s="557"/>
      <c r="L77" s="394"/>
      <c r="M77" s="557"/>
      <c r="N77" s="557"/>
      <c r="O77" s="557"/>
      <c r="P77" s="557"/>
      <c r="Q77" s="557"/>
      <c r="R77" s="394"/>
      <c r="S77" s="394"/>
      <c r="T77" s="394"/>
      <c r="U77" s="394"/>
      <c r="V77" s="394"/>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5"/>
      <c r="B78" s="394"/>
      <c r="E78" s="557"/>
      <c r="F78" s="557"/>
      <c r="G78" s="557"/>
      <c r="H78" s="557"/>
      <c r="I78" s="557"/>
      <c r="J78" s="557"/>
      <c r="K78" s="557"/>
      <c r="L78" s="394"/>
      <c r="M78" s="557"/>
      <c r="N78" s="557"/>
      <c r="O78" s="557"/>
      <c r="P78" s="557"/>
      <c r="Q78" s="557"/>
      <c r="R78" s="394"/>
      <c r="S78" s="394"/>
      <c r="T78" s="394"/>
      <c r="U78" s="394"/>
      <c r="V78" s="394"/>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5"/>
      <c r="B79" s="394"/>
      <c r="E79" s="557"/>
      <c r="F79" s="557"/>
      <c r="G79" s="557"/>
      <c r="H79" s="557"/>
      <c r="I79" s="557"/>
      <c r="J79" s="557"/>
      <c r="K79" s="557"/>
      <c r="L79" s="394"/>
      <c r="M79" s="557"/>
      <c r="N79" s="557"/>
      <c r="O79" s="557"/>
      <c r="P79" s="557"/>
      <c r="Q79" s="557"/>
      <c r="R79" s="394"/>
      <c r="S79" s="394"/>
      <c r="T79" s="394"/>
      <c r="U79" s="394"/>
      <c r="V79" s="394"/>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5"/>
      <c r="B80" s="394"/>
      <c r="E80" s="557"/>
      <c r="F80" s="557"/>
      <c r="G80" s="557"/>
      <c r="H80" s="557"/>
      <c r="I80" s="557"/>
      <c r="J80" s="557"/>
      <c r="K80" s="557"/>
      <c r="L80" s="394"/>
      <c r="M80" s="557"/>
      <c r="N80" s="557"/>
      <c r="O80" s="557"/>
      <c r="P80" s="557"/>
      <c r="Q80" s="557"/>
      <c r="R80" s="394"/>
      <c r="S80" s="394"/>
      <c r="T80" s="394"/>
      <c r="U80" s="394"/>
      <c r="V80" s="394"/>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5"/>
      <c r="B81" s="394"/>
      <c r="E81" s="557"/>
      <c r="F81" s="557"/>
      <c r="G81" s="557"/>
      <c r="H81" s="557"/>
      <c r="I81" s="557"/>
      <c r="J81" s="557"/>
      <c r="K81" s="557"/>
      <c r="L81" s="394"/>
      <c r="M81" s="557"/>
      <c r="N81" s="557"/>
      <c r="O81" s="557"/>
      <c r="P81" s="557"/>
      <c r="Q81" s="557"/>
      <c r="R81" s="394"/>
      <c r="S81" s="394"/>
      <c r="T81" s="394"/>
      <c r="U81" s="394"/>
      <c r="V81" s="394"/>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5"/>
      <c r="B82" s="394"/>
      <c r="E82" s="557"/>
      <c r="F82" s="557"/>
      <c r="G82" s="557"/>
      <c r="H82" s="557"/>
      <c r="I82" s="557"/>
      <c r="J82" s="557"/>
      <c r="K82" s="557"/>
      <c r="L82" s="394"/>
      <c r="M82" s="557"/>
      <c r="N82" s="557"/>
      <c r="O82" s="557"/>
      <c r="P82" s="557"/>
      <c r="Q82" s="557"/>
      <c r="R82" s="394"/>
      <c r="S82" s="394"/>
      <c r="T82" s="394"/>
      <c r="U82" s="394"/>
      <c r="V82" s="394"/>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5"/>
      <c r="B83" s="394"/>
      <c r="E83" s="557"/>
      <c r="F83" s="557"/>
      <c r="G83" s="557"/>
      <c r="H83" s="557"/>
      <c r="I83" s="557"/>
      <c r="J83" s="557"/>
      <c r="K83" s="557"/>
      <c r="L83" s="394"/>
      <c r="M83" s="557"/>
      <c r="N83" s="557"/>
      <c r="O83" s="557"/>
      <c r="P83" s="557"/>
      <c r="Q83" s="557"/>
      <c r="R83" s="394"/>
      <c r="S83" s="394"/>
      <c r="T83" s="394"/>
      <c r="U83" s="394"/>
      <c r="V83" s="394"/>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5"/>
      <c r="B84" s="394"/>
      <c r="E84" s="557"/>
      <c r="F84" s="557"/>
      <c r="G84" s="557"/>
      <c r="H84" s="557"/>
      <c r="I84" s="557"/>
      <c r="J84" s="557"/>
      <c r="K84" s="557"/>
      <c r="L84" s="394"/>
      <c r="M84" s="557"/>
      <c r="N84" s="557"/>
      <c r="O84" s="557"/>
      <c r="P84" s="557"/>
      <c r="Q84" s="557"/>
      <c r="R84" s="394"/>
      <c r="S84" s="394"/>
      <c r="T84" s="394"/>
      <c r="U84" s="394"/>
      <c r="V84" s="394"/>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5"/>
      <c r="B85" s="394"/>
      <c r="E85" s="557"/>
      <c r="F85" s="557"/>
      <c r="G85" s="557"/>
      <c r="H85" s="557"/>
      <c r="I85" s="557"/>
      <c r="J85" s="557"/>
      <c r="K85" s="557"/>
      <c r="L85" s="394"/>
      <c r="M85" s="557"/>
      <c r="N85" s="557"/>
      <c r="O85" s="557"/>
      <c r="P85" s="557"/>
      <c r="Q85" s="557"/>
      <c r="R85" s="394"/>
      <c r="S85" s="394"/>
      <c r="T85" s="394"/>
      <c r="U85" s="394"/>
      <c r="V85" s="394"/>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5"/>
      <c r="B86" s="394"/>
      <c r="E86" s="557"/>
      <c r="F86" s="557"/>
      <c r="G86" s="557"/>
      <c r="H86" s="557"/>
      <c r="I86" s="557"/>
      <c r="J86" s="557"/>
      <c r="K86" s="557"/>
      <c r="L86" s="394"/>
      <c r="M86" s="557"/>
      <c r="N86" s="557"/>
      <c r="O86" s="557"/>
      <c r="P86" s="557"/>
      <c r="Q86" s="557"/>
      <c r="R86" s="394"/>
      <c r="S86" s="394"/>
      <c r="T86" s="394"/>
      <c r="U86" s="394"/>
      <c r="V86" s="394"/>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5"/>
      <c r="B87" s="394"/>
      <c r="E87" s="557"/>
      <c r="F87" s="557"/>
      <c r="G87" s="557"/>
      <c r="H87" s="557"/>
      <c r="I87" s="557"/>
      <c r="J87" s="557"/>
      <c r="K87" s="557"/>
      <c r="L87" s="394"/>
      <c r="M87" s="557"/>
      <c r="N87" s="557"/>
      <c r="O87" s="557"/>
      <c r="P87" s="557"/>
      <c r="Q87" s="557"/>
      <c r="R87" s="394"/>
      <c r="S87" s="394"/>
      <c r="T87" s="394"/>
      <c r="U87" s="394"/>
      <c r="V87" s="394"/>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5"/>
      <c r="B88" s="394"/>
      <c r="E88" s="557"/>
      <c r="F88" s="557"/>
      <c r="G88" s="557"/>
      <c r="H88" s="557"/>
      <c r="I88" s="557"/>
      <c r="J88" s="557"/>
      <c r="K88" s="557"/>
      <c r="L88" s="394"/>
      <c r="M88" s="557"/>
      <c r="N88" s="557"/>
      <c r="O88" s="557"/>
      <c r="P88" s="557"/>
      <c r="Q88" s="557"/>
      <c r="R88" s="394"/>
      <c r="S88" s="394"/>
      <c r="T88" s="394"/>
      <c r="U88" s="394"/>
      <c r="V88" s="394"/>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5"/>
      <c r="B89" s="394"/>
      <c r="E89" s="557"/>
      <c r="F89" s="557"/>
      <c r="G89" s="557"/>
      <c r="H89" s="557"/>
      <c r="I89" s="557"/>
      <c r="J89" s="557"/>
      <c r="K89" s="557"/>
      <c r="L89" s="394"/>
      <c r="M89" s="557"/>
      <c r="N89" s="557"/>
      <c r="O89" s="557"/>
      <c r="P89" s="557"/>
      <c r="Q89" s="557"/>
      <c r="R89" s="394"/>
      <c r="S89" s="394"/>
      <c r="T89" s="394"/>
      <c r="U89" s="394"/>
      <c r="V89" s="394"/>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5"/>
      <c r="B90" s="394"/>
      <c r="E90" s="557"/>
      <c r="F90" s="557"/>
      <c r="G90" s="557"/>
      <c r="H90" s="557"/>
      <c r="I90" s="557"/>
      <c r="J90" s="557"/>
      <c r="K90" s="557"/>
      <c r="L90" s="394"/>
      <c r="M90" s="557"/>
      <c r="N90" s="557"/>
      <c r="O90" s="557"/>
      <c r="P90" s="557"/>
      <c r="Q90" s="557"/>
      <c r="R90" s="394"/>
      <c r="S90" s="394"/>
      <c r="T90" s="394"/>
      <c r="U90" s="394"/>
      <c r="V90" s="394"/>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5"/>
      <c r="B91" s="394"/>
      <c r="E91" s="557"/>
      <c r="F91" s="557"/>
      <c r="G91" s="557"/>
      <c r="H91" s="557"/>
      <c r="I91" s="557"/>
      <c r="J91" s="557"/>
      <c r="K91" s="557"/>
      <c r="L91" s="394"/>
      <c r="M91" s="557"/>
      <c r="N91" s="557"/>
      <c r="O91" s="557"/>
      <c r="P91" s="557"/>
      <c r="Q91" s="557"/>
      <c r="R91" s="394"/>
      <c r="S91" s="394"/>
      <c r="T91" s="394"/>
      <c r="U91" s="394"/>
      <c r="V91" s="394"/>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5"/>
      <c r="B92" s="394"/>
      <c r="E92" s="557"/>
      <c r="F92" s="557"/>
      <c r="G92" s="557"/>
      <c r="H92" s="557"/>
      <c r="I92" s="557"/>
      <c r="J92" s="557"/>
      <c r="K92" s="557"/>
      <c r="L92" s="394"/>
      <c r="M92" s="557"/>
      <c r="N92" s="557"/>
      <c r="O92" s="557"/>
      <c r="P92" s="557"/>
      <c r="Q92" s="557"/>
      <c r="R92" s="394"/>
      <c r="S92" s="394"/>
      <c r="T92" s="394"/>
      <c r="U92" s="394"/>
      <c r="V92" s="394"/>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5"/>
      <c r="B93" s="394"/>
      <c r="E93" s="557"/>
      <c r="F93" s="557"/>
      <c r="G93" s="557"/>
      <c r="H93" s="557"/>
      <c r="I93" s="557"/>
      <c r="J93" s="557"/>
      <c r="K93" s="557"/>
      <c r="L93" s="394"/>
      <c r="M93" s="557"/>
      <c r="N93" s="557"/>
      <c r="O93" s="557"/>
      <c r="P93" s="557"/>
      <c r="Q93" s="557"/>
      <c r="R93" s="394"/>
      <c r="S93" s="394"/>
      <c r="T93" s="394"/>
      <c r="U93" s="394"/>
      <c r="V93" s="394"/>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5"/>
      <c r="B94" s="394"/>
      <c r="E94" s="557"/>
      <c r="F94" s="557"/>
      <c r="G94" s="557"/>
      <c r="H94" s="557"/>
      <c r="I94" s="557"/>
      <c r="J94" s="557"/>
      <c r="K94" s="557"/>
      <c r="L94" s="394"/>
      <c r="M94" s="557"/>
      <c r="N94" s="557"/>
      <c r="O94" s="557"/>
      <c r="P94" s="557"/>
      <c r="Q94" s="557"/>
      <c r="R94" s="394"/>
      <c r="S94" s="394"/>
      <c r="T94" s="394"/>
      <c r="U94" s="394"/>
      <c r="V94" s="394"/>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5"/>
      <c r="B95" s="394"/>
      <c r="E95" s="557"/>
      <c r="F95" s="557"/>
      <c r="G95" s="557"/>
      <c r="H95" s="557"/>
      <c r="I95" s="557"/>
      <c r="J95" s="557"/>
      <c r="K95" s="557"/>
      <c r="L95" s="394"/>
      <c r="M95" s="557"/>
      <c r="N95" s="557"/>
      <c r="O95" s="557"/>
      <c r="P95" s="557"/>
      <c r="Q95" s="557"/>
      <c r="R95" s="394"/>
      <c r="S95" s="394"/>
      <c r="T95" s="394"/>
      <c r="U95" s="394"/>
      <c r="V95" s="394"/>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5"/>
      <c r="B96" s="394"/>
      <c r="E96" s="557"/>
      <c r="F96" s="557"/>
      <c r="G96" s="557"/>
      <c r="H96" s="557"/>
      <c r="I96" s="557"/>
      <c r="J96" s="557"/>
      <c r="K96" s="557"/>
      <c r="L96" s="394"/>
      <c r="M96" s="557"/>
      <c r="N96" s="557"/>
      <c r="O96" s="557"/>
      <c r="P96" s="557"/>
      <c r="Q96" s="557"/>
      <c r="R96" s="394"/>
      <c r="S96" s="394"/>
      <c r="T96" s="394"/>
      <c r="U96" s="394"/>
      <c r="V96" s="394"/>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5"/>
      <c r="B97" s="394"/>
      <c r="E97" s="557"/>
      <c r="F97" s="557"/>
      <c r="G97" s="557"/>
      <c r="H97" s="557"/>
      <c r="I97" s="557"/>
      <c r="J97" s="557"/>
      <c r="K97" s="557"/>
      <c r="L97" s="394"/>
      <c r="M97" s="557"/>
      <c r="N97" s="557"/>
      <c r="O97" s="557"/>
      <c r="P97" s="557"/>
      <c r="Q97" s="557"/>
      <c r="R97" s="394"/>
      <c r="S97" s="394"/>
      <c r="T97" s="394"/>
      <c r="U97" s="394"/>
      <c r="V97" s="394"/>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5"/>
      <c r="B98" s="394"/>
      <c r="E98" s="557"/>
      <c r="F98" s="557"/>
      <c r="G98" s="557"/>
      <c r="H98" s="557"/>
      <c r="I98" s="557"/>
      <c r="J98" s="557"/>
      <c r="K98" s="557"/>
      <c r="L98" s="394"/>
      <c r="M98" s="557"/>
      <c r="N98" s="557"/>
      <c r="O98" s="557"/>
      <c r="P98" s="557"/>
      <c r="Q98" s="557"/>
      <c r="R98" s="394"/>
      <c r="S98" s="394"/>
      <c r="T98" s="394"/>
      <c r="U98" s="394"/>
      <c r="V98" s="394"/>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5"/>
      <c r="B99" s="394"/>
      <c r="E99" s="557"/>
      <c r="F99" s="557"/>
      <c r="G99" s="557"/>
      <c r="H99" s="557"/>
      <c r="I99" s="557"/>
      <c r="J99" s="557"/>
      <c r="K99" s="557"/>
      <c r="L99" s="394"/>
      <c r="M99" s="557"/>
      <c r="N99" s="557"/>
      <c r="O99" s="557"/>
      <c r="P99" s="557"/>
      <c r="Q99" s="557"/>
      <c r="R99" s="394"/>
      <c r="S99" s="394"/>
      <c r="T99" s="394"/>
      <c r="U99" s="394"/>
      <c r="V99" s="394"/>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S76"/>
  <sheetViews>
    <sheetView topLeftCell="A34" zoomScale="75" workbookViewId="0">
      <selection activeCell="J71" sqref="J71"/>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8" t="s">
        <v>408</v>
      </c>
    </row>
    <row r="2" spans="1:11" ht="15.75">
      <c r="A2" s="1008" t="s">
        <v>408</v>
      </c>
    </row>
    <row r="3" spans="1:11">
      <c r="A3" s="1518" t="str">
        <f>TCOS!$F$5</f>
        <v>AEPTCo subsidiaries in PJM</v>
      </c>
      <c r="B3" s="1518" t="str">
        <f>TCOS!$F$5</f>
        <v>AEPTCo subsidiaries in PJM</v>
      </c>
      <c r="C3" s="1518" t="str">
        <f>TCOS!$F$5</f>
        <v>AEPTCo subsidiaries in PJM</v>
      </c>
      <c r="D3" s="1518" t="str">
        <f>TCOS!$F$5</f>
        <v>AEPTCo subsidiaries in PJM</v>
      </c>
      <c r="E3" s="1518" t="str">
        <f>TCOS!$F$5</f>
        <v>AEPTCo subsidiaries in PJM</v>
      </c>
      <c r="F3" s="1518" t="str">
        <f>TCOS!$F$5</f>
        <v>AEPTCo subsidiaries in PJM</v>
      </c>
      <c r="G3" s="1518" t="str">
        <f>TCOS!$F$5</f>
        <v>AEPTCo subsidiaries in PJM</v>
      </c>
      <c r="H3" s="21"/>
    </row>
    <row r="4" spans="1:11" ht="12.75" customHeight="1">
      <c r="A4" s="1511" t="str">
        <f>"Cost of Service Formula Rate Using Actual/Projected FF1 Balances"</f>
        <v>Cost of Service Formula Rate Using Actual/Projected FF1 Balances</v>
      </c>
      <c r="B4" s="1511"/>
      <c r="C4" s="1511"/>
      <c r="D4" s="1511"/>
      <c r="E4" s="1511"/>
      <c r="F4" s="1511"/>
      <c r="G4" s="1511"/>
      <c r="H4" s="52"/>
      <c r="I4" s="52"/>
      <c r="J4" s="52"/>
      <c r="K4" s="52"/>
    </row>
    <row r="5" spans="1:11" ht="12.75" customHeight="1">
      <c r="A5" s="1511" t="s">
        <v>278</v>
      </c>
      <c r="B5" s="1511"/>
      <c r="C5" s="1511"/>
      <c r="D5" s="1511"/>
      <c r="E5" s="1511"/>
      <c r="F5" s="1511"/>
      <c r="G5" s="1511"/>
    </row>
    <row r="6" spans="1:11" ht="12.75" customHeight="1">
      <c r="A6" s="1521" t="str">
        <f>TCOS!F9</f>
        <v>West Virginia Transmission Company</v>
      </c>
      <c r="B6" s="1521"/>
      <c r="C6" s="1521"/>
      <c r="D6" s="1521"/>
      <c r="E6" s="1521"/>
      <c r="F6" s="1521"/>
      <c r="G6" s="1521"/>
    </row>
    <row r="7" spans="1:11" ht="12.75" customHeight="1">
      <c r="A7" s="1518"/>
      <c r="B7" s="1518"/>
      <c r="C7" s="1518"/>
      <c r="D7" s="1518"/>
      <c r="E7" s="1518"/>
      <c r="F7" s="1518"/>
      <c r="G7" s="25"/>
    </row>
    <row r="8" spans="1:11" ht="18">
      <c r="A8" s="1557"/>
      <c r="B8" s="1557"/>
      <c r="C8" s="1557"/>
      <c r="D8" s="1557"/>
      <c r="E8" s="1557"/>
      <c r="F8" s="1557"/>
      <c r="G8" s="1557"/>
    </row>
    <row r="9" spans="1:11" ht="18">
      <c r="A9" s="81"/>
      <c r="B9" s="81"/>
      <c r="C9" s="81"/>
      <c r="D9" s="81"/>
      <c r="E9" s="81"/>
      <c r="F9" s="81"/>
      <c r="G9" s="81"/>
    </row>
    <row r="10" spans="1:11" ht="15.75">
      <c r="B10" s="19" t="s">
        <v>454</v>
      </c>
      <c r="C10" s="19" t="s">
        <v>455</v>
      </c>
      <c r="D10" s="19" t="s">
        <v>456</v>
      </c>
      <c r="E10" s="19" t="s">
        <v>457</v>
      </c>
      <c r="F10" s="19" t="s">
        <v>377</v>
      </c>
      <c r="G10" s="19" t="s">
        <v>378</v>
      </c>
    </row>
    <row r="11" spans="1:11" ht="15.75">
      <c r="B11" s="30"/>
      <c r="C11" s="25"/>
      <c r="D11" s="93"/>
      <c r="E11" s="94"/>
      <c r="F11" s="95" t="s">
        <v>380</v>
      </c>
      <c r="G11" s="19"/>
    </row>
    <row r="12" spans="1:11" ht="15.75">
      <c r="A12" s="33" t="s">
        <v>461</v>
      </c>
      <c r="B12" s="30"/>
      <c r="C12" s="39"/>
      <c r="D12" s="33">
        <f>+TCOS!L4</f>
        <v>2022</v>
      </c>
      <c r="E12" s="95" t="s">
        <v>380</v>
      </c>
      <c r="F12" s="33" t="s">
        <v>409</v>
      </c>
      <c r="G12" s="19"/>
    </row>
    <row r="13" spans="1:11" ht="15.75">
      <c r="A13" s="33" t="s">
        <v>399</v>
      </c>
      <c r="B13" s="33" t="s">
        <v>362</v>
      </c>
      <c r="C13" s="33" t="s">
        <v>459</v>
      </c>
      <c r="D13" s="33" t="s">
        <v>363</v>
      </c>
      <c r="E13" s="33" t="s">
        <v>382</v>
      </c>
      <c r="F13" s="33" t="s">
        <v>364</v>
      </c>
      <c r="G13" s="33" t="s">
        <v>365</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71"/>
      <c r="C18" s="561"/>
      <c r="D18" s="560"/>
      <c r="E18" s="48"/>
      <c r="F18" s="48"/>
      <c r="G18" s="22"/>
    </row>
    <row r="19" spans="1:7">
      <c r="A19" s="32">
        <f>+A18+1</f>
        <v>2</v>
      </c>
      <c r="B19" s="972"/>
      <c r="C19" s="973"/>
      <c r="D19" s="560"/>
      <c r="E19" s="48"/>
      <c r="F19" s="48"/>
      <c r="G19" s="22"/>
    </row>
    <row r="20" spans="1:7" ht="15.75">
      <c r="A20" s="32">
        <f>+A19+1</f>
        <v>3</v>
      </c>
      <c r="B20" s="974"/>
      <c r="C20" s="561"/>
      <c r="D20" s="560"/>
      <c r="E20" s="48"/>
      <c r="F20" s="48"/>
      <c r="G20" s="22"/>
    </row>
    <row r="21" spans="1:7" ht="15.75">
      <c r="A21" s="32">
        <f>+A20+1</f>
        <v>4</v>
      </c>
      <c r="B21" s="33"/>
      <c r="C21" s="107" t="s">
        <v>412</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4"/>
      <c r="E24" s="23"/>
      <c r="F24" s="23"/>
      <c r="G24" s="33"/>
    </row>
    <row r="25" spans="1:7" ht="15.75">
      <c r="A25" s="137">
        <f>+A24+1</f>
        <v>6</v>
      </c>
      <c r="B25" s="138" t="s">
        <v>177</v>
      </c>
      <c r="C25" s="138" t="s">
        <v>174</v>
      </c>
      <c r="D25" s="560">
        <v>0</v>
      </c>
      <c r="E25" s="23"/>
      <c r="F25" s="23"/>
      <c r="G25" s="33"/>
    </row>
    <row r="26" spans="1:7" ht="15.75">
      <c r="A26" s="32">
        <f>+A25+1</f>
        <v>7</v>
      </c>
      <c r="B26" s="136" t="s">
        <v>178</v>
      </c>
      <c r="C26" s="136" t="s">
        <v>175</v>
      </c>
      <c r="D26" s="560">
        <v>1091996.67</v>
      </c>
      <c r="E26" s="23"/>
      <c r="F26" s="23"/>
      <c r="G26" s="33"/>
    </row>
    <row r="27" spans="1:7" ht="15.75">
      <c r="A27" s="137">
        <f t="shared" ref="A27:A32" si="0">+A26+1</f>
        <v>8</v>
      </c>
      <c r="B27" s="138" t="s">
        <v>179</v>
      </c>
      <c r="C27" s="138" t="s">
        <v>176</v>
      </c>
      <c r="D27" s="560">
        <v>0</v>
      </c>
      <c r="E27" s="23"/>
      <c r="F27" s="23"/>
      <c r="G27" s="33"/>
    </row>
    <row r="28" spans="1:7" ht="15.75">
      <c r="A28" s="32">
        <f t="shared" si="0"/>
        <v>9</v>
      </c>
      <c r="B28" s="136" t="s">
        <v>180</v>
      </c>
      <c r="C28" s="136" t="s">
        <v>184</v>
      </c>
      <c r="D28" s="560">
        <v>4.7E-2</v>
      </c>
      <c r="E28" s="23"/>
      <c r="F28" s="23"/>
      <c r="G28" s="33"/>
    </row>
    <row r="29" spans="1:7" ht="15.75">
      <c r="A29" s="137">
        <f t="shared" si="0"/>
        <v>10</v>
      </c>
      <c r="B29" s="138" t="s">
        <v>181</v>
      </c>
      <c r="C29" s="138" t="s">
        <v>187</v>
      </c>
      <c r="D29" s="560">
        <v>210270.71</v>
      </c>
      <c r="E29" s="23"/>
      <c r="F29" s="23"/>
      <c r="G29" s="33"/>
    </row>
    <row r="30" spans="1:7" ht="15.75">
      <c r="A30" s="32">
        <f t="shared" si="0"/>
        <v>11</v>
      </c>
      <c r="B30" s="136" t="s">
        <v>182</v>
      </c>
      <c r="C30" s="136" t="s">
        <v>188</v>
      </c>
      <c r="D30" s="560">
        <v>0</v>
      </c>
      <c r="E30" s="23"/>
      <c r="F30" s="23"/>
      <c r="G30" s="33"/>
    </row>
    <row r="31" spans="1:7" ht="15.75">
      <c r="A31" s="137">
        <f t="shared" si="0"/>
        <v>12</v>
      </c>
      <c r="B31" s="138" t="s">
        <v>183</v>
      </c>
      <c r="C31" s="138" t="s">
        <v>189</v>
      </c>
      <c r="D31" s="560">
        <v>0</v>
      </c>
      <c r="E31" s="23"/>
      <c r="F31" s="23"/>
      <c r="G31" s="33"/>
    </row>
    <row r="32" spans="1:7" ht="15.75">
      <c r="A32" s="32">
        <f t="shared" si="0"/>
        <v>13</v>
      </c>
      <c r="B32" s="136" t="s">
        <v>185</v>
      </c>
      <c r="C32" s="136" t="s">
        <v>190</v>
      </c>
      <c r="D32" s="560">
        <v>0</v>
      </c>
      <c r="E32" s="23"/>
      <c r="F32" s="23"/>
      <c r="G32" s="33"/>
    </row>
    <row r="33" spans="1:19" ht="15.75">
      <c r="A33" s="137">
        <f>+A32+1</f>
        <v>14</v>
      </c>
      <c r="B33" s="138"/>
      <c r="C33" s="19" t="s">
        <v>186</v>
      </c>
      <c r="D33" s="41">
        <f>SUM(D24:D32)</f>
        <v>1302267.4269999999</v>
      </c>
      <c r="E33" s="33"/>
      <c r="F33" s="33"/>
      <c r="G33" s="33"/>
    </row>
    <row r="34" spans="1:19" ht="15.75">
      <c r="A34" s="106"/>
      <c r="B34" s="47"/>
      <c r="C34" s="33"/>
      <c r="D34" s="33"/>
      <c r="E34" s="33"/>
      <c r="F34" s="33"/>
      <c r="G34" s="33"/>
    </row>
    <row r="35" spans="1:19" ht="15.75">
      <c r="A35" s="106"/>
      <c r="B35" s="32"/>
      <c r="C35" s="55" t="s">
        <v>496</v>
      </c>
      <c r="D35" s="25"/>
      <c r="E35" s="25"/>
      <c r="F35" s="25"/>
      <c r="G35" s="25"/>
    </row>
    <row r="36" spans="1:19">
      <c r="A36" s="32">
        <f>+A33+1</f>
        <v>15</v>
      </c>
      <c r="B36" s="971" t="s">
        <v>830</v>
      </c>
      <c r="C36" s="561" t="s">
        <v>831</v>
      </c>
      <c r="D36" s="560">
        <v>3.81</v>
      </c>
      <c r="E36" s="23">
        <f t="shared" ref="E36:E41" si="1">+D36</f>
        <v>3.81</v>
      </c>
      <c r="F36" s="23">
        <v>0</v>
      </c>
      <c r="G36" s="22"/>
    </row>
    <row r="37" spans="1:19">
      <c r="A37" s="32">
        <f>+A36+1</f>
        <v>16</v>
      </c>
      <c r="B37" s="971" t="s">
        <v>832</v>
      </c>
      <c r="C37" s="561" t="s">
        <v>833</v>
      </c>
      <c r="D37" s="560">
        <v>3.09</v>
      </c>
      <c r="E37" s="23">
        <f t="shared" si="1"/>
        <v>3.09</v>
      </c>
      <c r="F37" s="23">
        <v>0</v>
      </c>
      <c r="G37" s="22"/>
    </row>
    <row r="38" spans="1:19">
      <c r="A38" s="32">
        <f>+A37+1</f>
        <v>17</v>
      </c>
      <c r="B38" s="971" t="s">
        <v>834</v>
      </c>
      <c r="C38" s="561" t="s">
        <v>835</v>
      </c>
      <c r="D38" s="560">
        <v>1226.05</v>
      </c>
      <c r="E38" s="23">
        <f t="shared" si="1"/>
        <v>1226.05</v>
      </c>
      <c r="F38" s="23">
        <v>0</v>
      </c>
      <c r="G38" s="22"/>
    </row>
    <row r="39" spans="1:19">
      <c r="A39" s="32">
        <f>+A38+1</f>
        <v>18</v>
      </c>
      <c r="B39" s="971" t="s">
        <v>836</v>
      </c>
      <c r="C39" s="561" t="s">
        <v>837</v>
      </c>
      <c r="D39" s="560">
        <v>30921.16</v>
      </c>
      <c r="E39" s="23">
        <v>0</v>
      </c>
      <c r="F39" s="23">
        <f>D39</f>
        <v>30921.16</v>
      </c>
      <c r="G39" s="50"/>
    </row>
    <row r="40" spans="1:19">
      <c r="A40" s="32">
        <f>+A39+1</f>
        <v>19</v>
      </c>
      <c r="B40" s="971"/>
      <c r="C40" s="561"/>
      <c r="D40" s="560"/>
      <c r="E40" s="23">
        <f t="shared" si="1"/>
        <v>0</v>
      </c>
      <c r="F40" s="23">
        <v>0</v>
      </c>
      <c r="G40" s="50"/>
    </row>
    <row r="41" spans="1:19">
      <c r="A41" s="32">
        <f>+A40+1</f>
        <v>20</v>
      </c>
      <c r="B41" s="971"/>
      <c r="C41" s="561"/>
      <c r="D41" s="560"/>
      <c r="E41" s="23">
        <f t="shared" si="1"/>
        <v>0</v>
      </c>
      <c r="F41" s="23">
        <v>0</v>
      </c>
      <c r="G41" s="50"/>
    </row>
    <row r="42" spans="1:19">
      <c r="A42" s="32"/>
      <c r="B42" s="54"/>
      <c r="C42" s="43"/>
      <c r="D42" s="23"/>
      <c r="E42" s="23"/>
      <c r="F42" s="23"/>
      <c r="G42" s="22"/>
    </row>
    <row r="43" spans="1:19" ht="12.75" customHeight="1">
      <c r="A43" s="32"/>
      <c r="B43" s="24" t="s">
        <v>408</v>
      </c>
      <c r="C43" s="43"/>
      <c r="D43" s="26"/>
      <c r="E43" s="27"/>
      <c r="F43" s="28"/>
      <c r="G43" s="25"/>
    </row>
    <row r="44" spans="1:19" ht="15.75" customHeight="1">
      <c r="A44" s="32">
        <f>+A41+1</f>
        <v>21</v>
      </c>
      <c r="B44" s="30"/>
      <c r="C44" s="1255" t="s">
        <v>633</v>
      </c>
      <c r="D44" s="41">
        <f>SUM(D36:D42)</f>
        <v>32154.11</v>
      </c>
      <c r="E44" s="41">
        <f>SUM(E36:E42)</f>
        <v>1232.95</v>
      </c>
      <c r="F44" s="41">
        <f>SUM(F36:F42)</f>
        <v>30921.16</v>
      </c>
      <c r="G44" s="13"/>
    </row>
    <row r="45" spans="1:19" ht="12.75" customHeight="1">
      <c r="A45" s="32"/>
      <c r="B45" s="30"/>
      <c r="C45" s="31"/>
      <c r="D45" s="46"/>
      <c r="E45" s="16"/>
      <c r="F45" s="16"/>
      <c r="G45" s="25"/>
    </row>
    <row r="46" spans="1:19" ht="15.75">
      <c r="A46" s="32"/>
      <c r="B46" s="32"/>
      <c r="C46" s="55" t="s">
        <v>495</v>
      </c>
      <c r="D46" s="16"/>
      <c r="E46" s="16"/>
      <c r="F46" s="16"/>
      <c r="G46" s="25"/>
    </row>
    <row r="47" spans="1:19">
      <c r="A47" s="32">
        <f>+A44+1</f>
        <v>22</v>
      </c>
      <c r="B47" s="971" t="s">
        <v>838</v>
      </c>
      <c r="C47" s="561" t="s">
        <v>839</v>
      </c>
      <c r="D47" s="562">
        <v>0</v>
      </c>
      <c r="E47" s="23">
        <f t="shared" ref="E47:E52" si="2">+D47</f>
        <v>0</v>
      </c>
      <c r="F47" s="23">
        <v>0</v>
      </c>
      <c r="G47"/>
      <c r="M47" s="12"/>
      <c r="N47" s="44"/>
      <c r="O47" s="45"/>
      <c r="P47" s="45"/>
      <c r="Q47" s="45"/>
      <c r="R47" s="45"/>
      <c r="S47" s="14"/>
    </row>
    <row r="48" spans="1:19">
      <c r="A48" s="32">
        <f>+A47+1</f>
        <v>23</v>
      </c>
      <c r="B48" s="971" t="s">
        <v>840</v>
      </c>
      <c r="C48" s="561" t="s">
        <v>841</v>
      </c>
      <c r="D48" s="562">
        <v>105.59</v>
      </c>
      <c r="E48" s="23">
        <f t="shared" si="2"/>
        <v>105.59</v>
      </c>
      <c r="F48" s="23">
        <v>0</v>
      </c>
      <c r="G48"/>
      <c r="M48" s="12"/>
      <c r="N48" s="44"/>
      <c r="O48" s="45"/>
      <c r="P48" s="45"/>
      <c r="Q48" s="45"/>
      <c r="R48" s="45"/>
      <c r="S48" s="14"/>
    </row>
    <row r="49" spans="1:19">
      <c r="A49" s="32">
        <f t="shared" ref="A49:A62" si="3">+A48+1</f>
        <v>24</v>
      </c>
      <c r="B49" s="971" t="s">
        <v>842</v>
      </c>
      <c r="C49" s="561" t="s">
        <v>843</v>
      </c>
      <c r="D49" s="562">
        <v>324.19</v>
      </c>
      <c r="E49" s="23">
        <f t="shared" si="2"/>
        <v>324.19</v>
      </c>
      <c r="F49" s="23">
        <v>0</v>
      </c>
      <c r="G49"/>
      <c r="M49" s="12"/>
      <c r="N49" s="44"/>
      <c r="O49" s="45"/>
      <c r="P49" s="45"/>
      <c r="Q49" s="45"/>
      <c r="R49" s="45"/>
      <c r="S49" s="14"/>
    </row>
    <row r="50" spans="1:19">
      <c r="A50" s="32">
        <f t="shared" si="3"/>
        <v>25</v>
      </c>
      <c r="B50" s="971" t="s">
        <v>844</v>
      </c>
      <c r="C50" s="561" t="s">
        <v>845</v>
      </c>
      <c r="D50" s="562">
        <v>2.3000000000000003</v>
      </c>
      <c r="E50" s="23">
        <f t="shared" si="2"/>
        <v>2.3000000000000003</v>
      </c>
      <c r="F50" s="23">
        <v>0</v>
      </c>
      <c r="G50"/>
      <c r="M50" s="12"/>
      <c r="N50" s="44"/>
      <c r="O50" s="45"/>
      <c r="P50" s="45"/>
      <c r="Q50" s="45"/>
      <c r="R50" s="45"/>
      <c r="S50" s="14"/>
    </row>
    <row r="51" spans="1:19">
      <c r="A51" s="32">
        <f t="shared" si="3"/>
        <v>26</v>
      </c>
      <c r="B51" s="971" t="s">
        <v>957</v>
      </c>
      <c r="C51" s="561" t="s">
        <v>958</v>
      </c>
      <c r="D51" s="562">
        <v>139.69</v>
      </c>
      <c r="E51" s="23">
        <f t="shared" si="2"/>
        <v>139.69</v>
      </c>
      <c r="F51" s="23"/>
      <c r="G51"/>
      <c r="M51" s="12"/>
      <c r="N51" s="44"/>
      <c r="O51" s="45"/>
      <c r="P51" s="45"/>
      <c r="Q51" s="45"/>
      <c r="R51" s="45"/>
      <c r="S51" s="14"/>
    </row>
    <row r="52" spans="1:19">
      <c r="A52" s="32">
        <f t="shared" si="3"/>
        <v>27</v>
      </c>
      <c r="B52" s="971" t="s">
        <v>846</v>
      </c>
      <c r="C52" s="561" t="s">
        <v>847</v>
      </c>
      <c r="D52" s="562">
        <v>192.19</v>
      </c>
      <c r="E52" s="23">
        <f t="shared" si="2"/>
        <v>192.19</v>
      </c>
      <c r="F52" s="23">
        <v>0</v>
      </c>
      <c r="G52"/>
      <c r="M52" s="12"/>
      <c r="N52" s="44"/>
      <c r="O52" s="45"/>
      <c r="P52" s="45"/>
      <c r="Q52" s="45"/>
      <c r="R52" s="45"/>
      <c r="S52" s="14"/>
    </row>
    <row r="53" spans="1:19">
      <c r="A53" s="32">
        <f t="shared" si="3"/>
        <v>28</v>
      </c>
      <c r="B53" s="971"/>
      <c r="C53" s="561"/>
      <c r="D53" s="562"/>
      <c r="E53" s="23"/>
      <c r="F53" s="23"/>
      <c r="G53"/>
      <c r="M53" s="12"/>
      <c r="N53" s="44"/>
      <c r="O53" s="45"/>
      <c r="P53" s="45"/>
      <c r="Q53" s="45"/>
      <c r="R53" s="45"/>
      <c r="S53" s="14"/>
    </row>
    <row r="54" spans="1:19">
      <c r="A54" s="32">
        <f t="shared" si="3"/>
        <v>29</v>
      </c>
      <c r="B54" s="971"/>
      <c r="C54" s="561"/>
      <c r="D54" s="562"/>
      <c r="E54" s="23"/>
      <c r="F54" s="23"/>
      <c r="G54"/>
      <c r="M54" s="12"/>
      <c r="N54" s="44"/>
      <c r="O54" s="45"/>
      <c r="P54" s="45"/>
      <c r="Q54" s="45"/>
      <c r="R54" s="45"/>
      <c r="S54" s="14"/>
    </row>
    <row r="55" spans="1:19">
      <c r="A55" s="32">
        <f t="shared" si="3"/>
        <v>30</v>
      </c>
      <c r="B55" s="971"/>
      <c r="C55" s="561"/>
      <c r="D55" s="562"/>
      <c r="E55" s="23"/>
      <c r="F55" s="23"/>
      <c r="G55"/>
      <c r="M55" s="12"/>
      <c r="N55" s="44"/>
      <c r="O55" s="45"/>
      <c r="P55" s="45"/>
      <c r="Q55" s="45"/>
      <c r="R55" s="45"/>
      <c r="S55" s="14"/>
    </row>
    <row r="56" spans="1:19">
      <c r="A56" s="32">
        <f t="shared" si="3"/>
        <v>31</v>
      </c>
      <c r="B56" s="971"/>
      <c r="C56" s="561"/>
      <c r="D56" s="562"/>
      <c r="E56" s="23"/>
      <c r="F56" s="23"/>
      <c r="G56"/>
      <c r="M56" s="12"/>
      <c r="N56" s="44"/>
      <c r="O56" s="45"/>
      <c r="P56" s="45"/>
      <c r="Q56" s="45"/>
      <c r="R56" s="45"/>
      <c r="S56" s="14"/>
    </row>
    <row r="57" spans="1:19">
      <c r="A57" s="32">
        <f t="shared" si="3"/>
        <v>32</v>
      </c>
      <c r="B57" s="971"/>
      <c r="C57" s="561"/>
      <c r="D57" s="562"/>
      <c r="E57" s="23"/>
      <c r="F57" s="29"/>
      <c r="G57"/>
      <c r="M57" s="12"/>
      <c r="N57" s="44"/>
      <c r="O57" s="45"/>
      <c r="P57" s="45"/>
      <c r="Q57" s="45"/>
      <c r="R57" s="45"/>
      <c r="S57" s="14"/>
    </row>
    <row r="58" spans="1:19">
      <c r="A58" s="32">
        <f t="shared" si="3"/>
        <v>33</v>
      </c>
      <c r="B58" s="971"/>
      <c r="C58" s="561"/>
      <c r="D58" s="562"/>
      <c r="E58" s="23"/>
      <c r="F58" s="29"/>
      <c r="G58"/>
    </row>
    <row r="59" spans="1:19">
      <c r="A59" s="32">
        <f t="shared" si="3"/>
        <v>34</v>
      </c>
      <c r="B59" s="971"/>
      <c r="C59" s="561"/>
      <c r="D59" s="562"/>
      <c r="E59" s="23"/>
      <c r="F59" s="29"/>
      <c r="G59" s="25"/>
    </row>
    <row r="60" spans="1:19">
      <c r="A60" s="32">
        <f t="shared" si="3"/>
        <v>35</v>
      </c>
      <c r="B60" s="971"/>
      <c r="C60" s="561"/>
      <c r="D60" s="562"/>
      <c r="E60" s="23"/>
      <c r="F60" s="29"/>
      <c r="G60" s="25"/>
    </row>
    <row r="61" spans="1:19">
      <c r="A61" s="32">
        <f t="shared" si="3"/>
        <v>36</v>
      </c>
      <c r="B61" s="971"/>
      <c r="C61" s="561"/>
      <c r="D61" s="562"/>
      <c r="E61" s="23"/>
      <c r="F61" s="29"/>
      <c r="G61" s="25"/>
    </row>
    <row r="62" spans="1:19">
      <c r="A62" s="32">
        <f t="shared" si="3"/>
        <v>37</v>
      </c>
      <c r="B62" s="971"/>
      <c r="C62" s="561"/>
      <c r="D62" s="562"/>
      <c r="E62" s="23"/>
      <c r="F62" s="29"/>
      <c r="G62" s="25"/>
    </row>
    <row r="63" spans="1:19">
      <c r="A63" s="32"/>
      <c r="B63" s="24"/>
      <c r="C63" s="25"/>
      <c r="D63" s="34"/>
      <c r="E63" s="35"/>
      <c r="F63" s="34"/>
      <c r="G63" s="25"/>
    </row>
    <row r="64" spans="1:19" ht="15.75">
      <c r="A64" s="32">
        <f>+A62+1</f>
        <v>38</v>
      </c>
      <c r="B64" s="30"/>
      <c r="C64" s="1255" t="s">
        <v>634</v>
      </c>
      <c r="D64" s="36">
        <f>SUM(D47:D63)</f>
        <v>763.96</v>
      </c>
      <c r="E64" s="36">
        <f>SUM(E47:E63)</f>
        <v>763.96</v>
      </c>
      <c r="F64" s="36">
        <f>SUM(F47:F63)</f>
        <v>0</v>
      </c>
      <c r="G64" s="13"/>
    </row>
    <row r="65" spans="1:11" ht="12.75" customHeight="1">
      <c r="A65" s="32"/>
      <c r="B65" s="20"/>
      <c r="C65" s="20"/>
      <c r="D65" s="20"/>
      <c r="E65" s="20"/>
      <c r="F65" s="20"/>
      <c r="G65" s="20"/>
    </row>
    <row r="66" spans="1:11" ht="15.75">
      <c r="A66" s="32"/>
      <c r="B66" s="19"/>
      <c r="C66" s="55" t="s">
        <v>494</v>
      </c>
      <c r="D66" s="37"/>
      <c r="E66" s="37"/>
      <c r="F66" s="37"/>
      <c r="G66" s="19"/>
    </row>
    <row r="67" spans="1:11">
      <c r="A67" s="32">
        <f>+A64+1</f>
        <v>39</v>
      </c>
      <c r="B67" s="1306" t="s">
        <v>848</v>
      </c>
      <c r="C67" s="561" t="s">
        <v>807</v>
      </c>
      <c r="D67" s="562">
        <v>85760.601999999999</v>
      </c>
      <c r="E67" s="23">
        <f>D67</f>
        <v>85760.601999999999</v>
      </c>
      <c r="F67" s="29">
        <v>0</v>
      </c>
      <c r="G67" s="12"/>
      <c r="H67" s="44"/>
      <c r="J67" s="14"/>
      <c r="K67" s="14"/>
    </row>
    <row r="68" spans="1:11">
      <c r="A68" s="32">
        <f>+A67+1</f>
        <v>40</v>
      </c>
      <c r="B68" s="1306" t="s">
        <v>849</v>
      </c>
      <c r="C68" s="561" t="s">
        <v>808</v>
      </c>
      <c r="D68" s="562">
        <v>40990.050000000003</v>
      </c>
      <c r="E68" s="23">
        <f>D68</f>
        <v>40990.050000000003</v>
      </c>
      <c r="F68" s="29">
        <v>0</v>
      </c>
      <c r="G68" s="12"/>
      <c r="H68" s="44"/>
      <c r="J68" s="14"/>
      <c r="K68" s="14"/>
    </row>
    <row r="69" spans="1:11">
      <c r="A69" s="32"/>
      <c r="B69" s="1306" t="s">
        <v>980</v>
      </c>
      <c r="C69" s="561" t="s">
        <v>981</v>
      </c>
      <c r="D69" s="562">
        <v>189.73</v>
      </c>
      <c r="E69" s="23">
        <f>D69</f>
        <v>189.73</v>
      </c>
      <c r="F69" s="29">
        <v>0</v>
      </c>
      <c r="G69" s="12"/>
      <c r="H69" s="44"/>
      <c r="J69" s="14"/>
      <c r="K69" s="14"/>
    </row>
    <row r="70" spans="1:11">
      <c r="A70" s="32">
        <f>+A68+1</f>
        <v>41</v>
      </c>
      <c r="B70" s="1306" t="s">
        <v>850</v>
      </c>
      <c r="C70" s="561" t="s">
        <v>809</v>
      </c>
      <c r="D70" s="562">
        <v>597.03</v>
      </c>
      <c r="E70" s="23">
        <v>0</v>
      </c>
      <c r="F70" s="29">
        <f>D70</f>
        <v>597.03</v>
      </c>
      <c r="G70" s="12"/>
      <c r="H70" s="44"/>
      <c r="J70" s="14"/>
      <c r="K70" s="14"/>
    </row>
    <row r="71" spans="1:11">
      <c r="A71" s="32">
        <f>+A70+1</f>
        <v>42</v>
      </c>
      <c r="B71" s="1306" t="s">
        <v>959</v>
      </c>
      <c r="C71" s="561" t="s">
        <v>960</v>
      </c>
      <c r="D71" s="562">
        <v>0</v>
      </c>
      <c r="E71" s="23">
        <f>D71</f>
        <v>0</v>
      </c>
      <c r="F71" s="29">
        <v>0</v>
      </c>
      <c r="G71" s="20"/>
    </row>
    <row r="72" spans="1:11">
      <c r="A72" s="32"/>
      <c r="B72" s="20"/>
      <c r="C72" s="20"/>
      <c r="D72" s="20"/>
      <c r="E72" s="20"/>
      <c r="F72" s="20"/>
      <c r="G72" s="20"/>
    </row>
    <row r="73" spans="1:11" ht="15.75">
      <c r="A73" s="32">
        <f>+A71+1</f>
        <v>43</v>
      </c>
      <c r="B73" s="20"/>
      <c r="C73" s="1255" t="s">
        <v>635</v>
      </c>
      <c r="D73" s="36">
        <f>SUM(D67:D72)</f>
        <v>127537.412</v>
      </c>
      <c r="E73" s="36">
        <f>SUM(E67:E72)</f>
        <v>126940.382</v>
      </c>
      <c r="F73" s="36">
        <f>SUM(F67:F72)</f>
        <v>597.03</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O241"/>
  <sheetViews>
    <sheetView zoomScaleNormal="100" workbookViewId="0">
      <selection activeCell="E9" sqref="E9"/>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row>
    <row r="4" spans="1:15" ht="15">
      <c r="A4" s="1543" t="str">
        <f>"Cost of Service Formula Rate Using Actual/Projected FF1 Balances"</f>
        <v>Cost of Service Formula Rate Using Actual/Projected FF1 Balances</v>
      </c>
      <c r="B4" s="1543"/>
      <c r="C4" s="1543"/>
      <c r="D4" s="1543"/>
      <c r="E4" s="1543"/>
      <c r="F4" s="1543"/>
      <c r="G4" s="1543"/>
      <c r="H4" s="1543"/>
    </row>
    <row r="5" spans="1:15" ht="15">
      <c r="A5" s="1543" t="s">
        <v>328</v>
      </c>
      <c r="B5" s="1543"/>
      <c r="C5" s="1543"/>
      <c r="D5" s="1543"/>
      <c r="E5" s="1543"/>
      <c r="F5" s="1543"/>
      <c r="G5" s="1543"/>
      <c r="H5" s="1543"/>
    </row>
    <row r="6" spans="1:15" ht="15">
      <c r="A6" s="1544" t="str">
        <f>TCOS!F9</f>
        <v>West Virginia Transmission Company</v>
      </c>
      <c r="B6" s="1544"/>
      <c r="C6" s="1544"/>
      <c r="D6" s="1544"/>
      <c r="E6" s="1544"/>
      <c r="F6" s="1544"/>
      <c r="G6" s="1544"/>
    </row>
    <row r="7" spans="1:15" ht="12.75" customHeight="1">
      <c r="A7" s="563"/>
      <c r="B7" s="564"/>
      <c r="C7" s="564"/>
      <c r="D7" s="564"/>
      <c r="E7" s="564"/>
      <c r="F7" s="564"/>
      <c r="G7" s="564"/>
      <c r="H7" s="564"/>
      <c r="I7" s="564"/>
      <c r="J7" s="564"/>
      <c r="O7" s="565"/>
    </row>
    <row r="8" spans="1:15" ht="12.75" customHeight="1">
      <c r="A8" s="563"/>
      <c r="B8" s="422"/>
      <c r="C8" s="395"/>
      <c r="D8" s="395"/>
      <c r="E8" s="395"/>
      <c r="F8" s="395"/>
    </row>
    <row r="9" spans="1:15" ht="15">
      <c r="A9" s="566">
        <v>1</v>
      </c>
      <c r="B9" s="577" t="s">
        <v>825</v>
      </c>
      <c r="C9" s="568"/>
      <c r="D9" s="569"/>
      <c r="E9" s="575">
        <v>6.5000000000000002E-2</v>
      </c>
      <c r="F9" s="395"/>
      <c r="G9" s="570"/>
      <c r="H9" s="570"/>
      <c r="L9" s="571"/>
    </row>
    <row r="10" spans="1:15" ht="15">
      <c r="A10" s="571"/>
      <c r="B10" s="567" t="s">
        <v>619</v>
      </c>
      <c r="C10" s="568"/>
      <c r="D10" s="568"/>
      <c r="E10" s="576">
        <v>0.99360826588717099</v>
      </c>
      <c r="F10" s="395"/>
      <c r="G10" s="570"/>
      <c r="H10" s="570"/>
      <c r="L10" s="571"/>
    </row>
    <row r="11" spans="1:15" ht="15">
      <c r="A11" s="571"/>
      <c r="B11" s="567" t="s">
        <v>228</v>
      </c>
      <c r="C11" s="568"/>
      <c r="D11" s="568"/>
      <c r="E11" s="394"/>
      <c r="F11" s="572">
        <f>ROUND(E9*E10,4)</f>
        <v>6.4600000000000005E-2</v>
      </c>
      <c r="G11" s="570"/>
      <c r="L11" s="571"/>
    </row>
    <row r="12" spans="1:15" ht="15">
      <c r="A12" s="571"/>
      <c r="B12" s="567"/>
      <c r="C12" s="568"/>
      <c r="D12" s="568"/>
      <c r="E12" s="394"/>
      <c r="F12" s="572"/>
      <c r="G12" s="570"/>
      <c r="L12" s="571"/>
    </row>
    <row r="13" spans="1:15" ht="15">
      <c r="A13" s="571">
        <f>A9+1</f>
        <v>2</v>
      </c>
      <c r="B13" s="577" t="s">
        <v>105</v>
      </c>
      <c r="C13" s="568"/>
      <c r="D13" s="569"/>
      <c r="E13" s="575"/>
      <c r="F13" s="395"/>
      <c r="G13" s="570"/>
      <c r="L13" s="571"/>
    </row>
    <row r="14" spans="1:15" ht="15">
      <c r="A14" s="571"/>
      <c r="B14" s="567" t="s">
        <v>619</v>
      </c>
      <c r="C14" s="568"/>
      <c r="D14" s="568"/>
      <c r="E14" s="576"/>
      <c r="F14" s="395"/>
      <c r="G14" s="570"/>
      <c r="L14" s="571"/>
    </row>
    <row r="15" spans="1:15" ht="15">
      <c r="A15" s="571"/>
      <c r="B15" s="567" t="s">
        <v>228</v>
      </c>
      <c r="C15" s="568"/>
      <c r="D15" s="568"/>
      <c r="E15" s="394"/>
      <c r="F15" s="572">
        <f>ROUND(E13*E14,4)</f>
        <v>0</v>
      </c>
      <c r="G15" s="570"/>
      <c r="L15" s="571"/>
    </row>
    <row r="16" spans="1:15" ht="15">
      <c r="A16" s="571"/>
      <c r="B16" s="567"/>
      <c r="C16" s="568"/>
      <c r="D16" s="568"/>
      <c r="E16" s="394"/>
      <c r="F16" s="572"/>
      <c r="G16" s="570"/>
      <c r="L16" s="571"/>
    </row>
    <row r="17" spans="1:12" ht="15">
      <c r="A17" s="571">
        <f>A13+1</f>
        <v>3</v>
      </c>
      <c r="B17" s="577" t="s">
        <v>105</v>
      </c>
      <c r="C17" s="568"/>
      <c r="D17" s="569"/>
      <c r="E17" s="575"/>
      <c r="F17" s="395"/>
      <c r="G17" s="570"/>
      <c r="L17" s="571"/>
    </row>
    <row r="18" spans="1:12" ht="15">
      <c r="A18" s="571"/>
      <c r="B18" s="567" t="s">
        <v>619</v>
      </c>
      <c r="C18" s="568"/>
      <c r="D18" s="568"/>
      <c r="E18" s="576"/>
      <c r="F18" s="395"/>
      <c r="G18" s="570"/>
      <c r="L18" s="571"/>
    </row>
    <row r="19" spans="1:12" ht="15">
      <c r="A19" s="571"/>
      <c r="B19" s="567" t="s">
        <v>228</v>
      </c>
      <c r="C19" s="568"/>
      <c r="D19" s="568"/>
      <c r="E19" s="394"/>
      <c r="F19" s="572">
        <f>ROUND(E17*E18,4)</f>
        <v>0</v>
      </c>
      <c r="G19" s="570"/>
      <c r="L19" s="571"/>
    </row>
    <row r="20" spans="1:12" ht="15">
      <c r="A20" s="571"/>
      <c r="B20" s="567"/>
      <c r="C20" s="568"/>
      <c r="D20" s="568"/>
      <c r="E20" s="394"/>
      <c r="F20" s="572"/>
      <c r="G20" s="570"/>
      <c r="L20" s="571"/>
    </row>
    <row r="21" spans="1:12" ht="15">
      <c r="A21" s="571">
        <f>A17+1</f>
        <v>4</v>
      </c>
      <c r="B21" s="577" t="s">
        <v>105</v>
      </c>
      <c r="C21" s="568"/>
      <c r="D21" s="569"/>
      <c r="E21" s="575"/>
      <c r="F21" s="395"/>
      <c r="G21" s="570"/>
      <c r="L21" s="571"/>
    </row>
    <row r="22" spans="1:12" ht="15">
      <c r="A22" s="571"/>
      <c r="B22" s="567" t="s">
        <v>619</v>
      </c>
      <c r="C22" s="568"/>
      <c r="D22" s="568"/>
      <c r="E22" s="576"/>
      <c r="F22" s="395"/>
      <c r="G22" s="570"/>
      <c r="L22" s="571"/>
    </row>
    <row r="23" spans="1:12" ht="15">
      <c r="A23" s="571"/>
      <c r="B23" s="567" t="s">
        <v>228</v>
      </c>
      <c r="C23" s="568"/>
      <c r="D23" s="568"/>
      <c r="E23" s="394"/>
      <c r="F23" s="572">
        <f>ROUND(E21*E22,4)</f>
        <v>0</v>
      </c>
      <c r="G23" s="570"/>
      <c r="L23" s="571"/>
    </row>
    <row r="24" spans="1:12" ht="15">
      <c r="A24" s="571"/>
      <c r="B24" s="567"/>
      <c r="C24" s="568"/>
      <c r="D24" s="568"/>
      <c r="E24" s="394"/>
      <c r="F24" s="572"/>
      <c r="G24" s="570"/>
      <c r="L24" s="571"/>
    </row>
    <row r="25" spans="1:12" ht="15">
      <c r="A25" s="571">
        <f>A21+1</f>
        <v>5</v>
      </c>
      <c r="B25" s="577" t="s">
        <v>105</v>
      </c>
      <c r="C25" s="568"/>
      <c r="D25" s="569"/>
      <c r="E25" s="575"/>
      <c r="F25" s="573"/>
      <c r="G25" s="570"/>
      <c r="L25" s="571"/>
    </row>
    <row r="26" spans="1:12" ht="15">
      <c r="A26" s="571"/>
      <c r="B26" s="567" t="s">
        <v>619</v>
      </c>
      <c r="C26" s="568"/>
      <c r="D26" s="568"/>
      <c r="E26" s="576"/>
      <c r="F26" s="573"/>
      <c r="G26" s="570"/>
      <c r="L26" s="571"/>
    </row>
    <row r="27" spans="1:12" ht="15">
      <c r="A27" s="571"/>
      <c r="B27" s="567" t="s">
        <v>228</v>
      </c>
      <c r="C27" s="568"/>
      <c r="D27" s="568"/>
      <c r="E27" s="394"/>
      <c r="F27" s="572">
        <f>ROUND(E25*E26,4)</f>
        <v>0</v>
      </c>
      <c r="G27" s="570"/>
      <c r="L27" s="571"/>
    </row>
    <row r="28" spans="1:12" ht="15">
      <c r="A28" s="571"/>
      <c r="B28" s="567"/>
      <c r="C28" s="568"/>
      <c r="D28" s="568"/>
      <c r="E28" s="568"/>
      <c r="F28" s="573"/>
      <c r="G28" s="570"/>
      <c r="L28" s="571"/>
    </row>
    <row r="29" spans="1:12" ht="15.75" thickBot="1">
      <c r="A29" s="571"/>
      <c r="B29" s="394" t="s">
        <v>487</v>
      </c>
      <c r="C29" s="394"/>
      <c r="D29" s="394"/>
      <c r="E29" s="394"/>
      <c r="F29" s="574">
        <f>ROUND(SUM(F11:F28),4)</f>
        <v>6.4600000000000005E-2</v>
      </c>
      <c r="G29" s="570"/>
      <c r="L29" s="571"/>
    </row>
    <row r="30" spans="1:12" ht="13.5" thickTop="1">
      <c r="A30" s="571"/>
      <c r="G30" s="393"/>
      <c r="L30" s="571"/>
    </row>
    <row r="31" spans="1:12">
      <c r="A31" s="571"/>
      <c r="G31" s="393"/>
      <c r="H31" s="393"/>
      <c r="L31" s="571"/>
    </row>
    <row r="32" spans="1:12">
      <c r="A32" s="571"/>
      <c r="G32" s="393"/>
      <c r="H32" s="393"/>
      <c r="L32" s="571"/>
    </row>
    <row r="33" spans="1:12" ht="12.75" customHeight="1">
      <c r="A33" s="571"/>
      <c r="C33" s="394"/>
      <c r="D33" s="394"/>
      <c r="E33" s="394"/>
      <c r="F33" s="394"/>
      <c r="G33" s="393"/>
      <c r="H33" s="393"/>
      <c r="L33" s="571"/>
    </row>
    <row r="34" spans="1:12">
      <c r="A34" s="348" t="s">
        <v>287</v>
      </c>
      <c r="B34" s="348" t="s">
        <v>192</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C216"/>
  <sheetViews>
    <sheetView topLeftCell="A10" zoomScale="80" zoomScaleNormal="80" zoomScalePageLayoutView="50" workbookViewId="0">
      <selection activeCell="A3" sqref="A3:M3"/>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8" t="s">
        <v>408</v>
      </c>
    </row>
    <row r="2" spans="1:29" ht="15.75">
      <c r="A2" s="1008" t="s">
        <v>408</v>
      </c>
    </row>
    <row r="3" spans="1:29" ht="18.75" customHeight="1">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row>
    <row r="4" spans="1:29" ht="18.75" customHeight="1">
      <c r="A4" s="1543" t="str">
        <f>"Cost of Service Formula Rate Using Actual/Projected FF1 Balances"</f>
        <v>Cost of Service Formula Rate Using Actual/Projected FF1 Balances</v>
      </c>
      <c r="B4" s="1543"/>
      <c r="C4" s="1543"/>
      <c r="D4" s="1543"/>
      <c r="E4" s="1543"/>
      <c r="F4" s="1543"/>
      <c r="G4" s="1543"/>
      <c r="H4" s="1543"/>
      <c r="I4" s="1543"/>
      <c r="J4" s="1543"/>
      <c r="K4" s="1543"/>
      <c r="L4" s="1543"/>
      <c r="M4" s="1543"/>
    </row>
    <row r="5" spans="1:29" ht="18.75" customHeight="1">
      <c r="A5" s="1543" t="s">
        <v>247</v>
      </c>
      <c r="B5" s="1543"/>
      <c r="C5" s="1543"/>
      <c r="D5" s="1543"/>
      <c r="E5" s="1543"/>
      <c r="F5" s="1543"/>
      <c r="G5" s="1543"/>
      <c r="H5" s="1543"/>
      <c r="I5" s="1543"/>
      <c r="J5" s="1543"/>
      <c r="K5" s="1543"/>
      <c r="L5" s="1543"/>
      <c r="M5" s="1543"/>
    </row>
    <row r="6" spans="1:29" ht="18.75" customHeight="1">
      <c r="A6" s="1559" t="str">
        <f>TCOS!F9</f>
        <v>West Virginia Transmission Company</v>
      </c>
      <c r="B6" s="1559"/>
      <c r="C6" s="1559"/>
      <c r="D6" s="1559"/>
      <c r="E6" s="1559"/>
      <c r="F6" s="1559"/>
      <c r="G6" s="1559"/>
      <c r="H6" s="1559"/>
      <c r="I6" s="1559"/>
      <c r="J6" s="1559"/>
      <c r="K6" s="1559"/>
      <c r="L6" s="1559"/>
      <c r="M6" s="1559"/>
    </row>
    <row r="7" spans="1:29" ht="18" customHeight="1">
      <c r="A7" s="1544"/>
      <c r="B7" s="1544"/>
      <c r="C7" s="1544"/>
      <c r="D7" s="1544"/>
      <c r="E7" s="1544"/>
      <c r="F7" s="1544"/>
      <c r="G7" s="1544"/>
      <c r="H7" s="1544"/>
      <c r="I7" s="1544"/>
      <c r="J7" s="1544"/>
      <c r="K7" s="1544"/>
      <c r="L7" s="1544"/>
      <c r="M7" s="1544"/>
    </row>
    <row r="8" spans="1:29" ht="18" customHeight="1">
      <c r="A8" s="1555"/>
      <c r="B8" s="1555"/>
      <c r="C8" s="1555"/>
      <c r="D8" s="1555"/>
      <c r="E8" s="1555"/>
      <c r="F8" s="1555"/>
      <c r="G8" s="1555"/>
      <c r="H8" s="1555"/>
      <c r="I8" s="1555"/>
      <c r="J8" s="1555"/>
      <c r="K8" s="1555"/>
      <c r="L8" s="1555"/>
      <c r="M8" s="1555"/>
    </row>
    <row r="9" spans="1:29" ht="18" customHeight="1">
      <c r="A9" s="521"/>
      <c r="B9" s="521"/>
      <c r="C9" s="521"/>
      <c r="D9" s="521"/>
      <c r="E9" s="521"/>
      <c r="F9" s="521"/>
      <c r="G9" s="521"/>
      <c r="H9" s="521"/>
      <c r="I9" s="521"/>
      <c r="J9" s="521"/>
      <c r="K9" s="521"/>
      <c r="L9" s="521"/>
      <c r="M9" s="521"/>
    </row>
    <row r="10" spans="1:29" ht="19.5" customHeight="1">
      <c r="A10" s="580"/>
      <c r="B10" s="581"/>
      <c r="C10" s="582" t="s">
        <v>454</v>
      </c>
      <c r="E10" s="582" t="s">
        <v>455</v>
      </c>
      <c r="G10" s="582" t="s">
        <v>456</v>
      </c>
      <c r="I10" s="582" t="s">
        <v>457</v>
      </c>
      <c r="K10" s="582" t="s">
        <v>377</v>
      </c>
      <c r="M10" s="582" t="s">
        <v>378</v>
      </c>
    </row>
    <row r="11" spans="1:29" ht="18">
      <c r="A11" s="584"/>
      <c r="B11" s="585"/>
      <c r="C11" s="585"/>
      <c r="D11" s="585"/>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4" t="s">
        <v>461</v>
      </c>
      <c r="B12" s="585"/>
      <c r="C12" s="585"/>
      <c r="D12" s="585"/>
      <c r="E12" s="586" t="s">
        <v>412</v>
      </c>
      <c r="F12" s="584"/>
      <c r="G12" s="584"/>
      <c r="H12" s="584"/>
      <c r="I12" s="584"/>
      <c r="J12" s="584"/>
      <c r="K12" s="587"/>
      <c r="L12" s="587"/>
      <c r="M12" s="588"/>
    </row>
    <row r="13" spans="1:29" ht="19.5">
      <c r="A13" s="589" t="s">
        <v>411</v>
      </c>
      <c r="B13" s="585"/>
      <c r="C13" s="589" t="s">
        <v>102</v>
      </c>
      <c r="D13" s="585"/>
      <c r="E13" s="590" t="s">
        <v>475</v>
      </c>
      <c r="F13" s="584"/>
      <c r="G13" s="589" t="s">
        <v>106</v>
      </c>
      <c r="H13" s="584"/>
      <c r="I13" s="589" t="s">
        <v>453</v>
      </c>
      <c r="J13" s="584"/>
      <c r="K13" s="591" t="s">
        <v>473</v>
      </c>
      <c r="L13" s="592"/>
      <c r="M13" s="591" t="s">
        <v>107</v>
      </c>
    </row>
    <row r="14" spans="1:29" ht="19.5">
      <c r="A14" s="593"/>
      <c r="B14" s="581"/>
      <c r="C14" s="594"/>
      <c r="D14" s="594"/>
      <c r="E14" s="594" t="s">
        <v>325</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118</v>
      </c>
      <c r="D16" s="581"/>
      <c r="E16" s="595"/>
      <c r="F16" s="595"/>
      <c r="G16" s="600"/>
      <c r="H16" s="600"/>
      <c r="I16" s="600"/>
      <c r="J16" s="600"/>
      <c r="K16" s="600"/>
      <c r="L16" s="600"/>
      <c r="M16" s="601"/>
    </row>
    <row r="17" spans="1:15" ht="19.5">
      <c r="A17" s="580">
        <f>+A16+1</f>
        <v>2</v>
      </c>
      <c r="B17" s="581"/>
      <c r="C17" s="597" t="s">
        <v>103</v>
      </c>
      <c r="D17" s="581"/>
      <c r="E17" s="602">
        <f>+'WS H-p2 Detail of Tax Amts'!E14</f>
        <v>-7</v>
      </c>
      <c r="F17" s="595"/>
      <c r="G17" s="600"/>
      <c r="H17" s="600"/>
      <c r="I17" s="600"/>
      <c r="J17" s="600"/>
      <c r="K17" s="600"/>
      <c r="L17" s="600"/>
      <c r="M17" s="601">
        <f>+E17</f>
        <v>-7</v>
      </c>
    </row>
    <row r="18" spans="1:15" ht="19.5">
      <c r="A18" s="580"/>
      <c r="B18" s="581"/>
      <c r="C18" s="587"/>
      <c r="D18" s="581"/>
      <c r="E18" s="603"/>
      <c r="F18" s="595"/>
      <c r="G18" s="600"/>
      <c r="H18" s="600"/>
      <c r="I18" s="600"/>
      <c r="J18" s="600"/>
      <c r="K18" s="600"/>
      <c r="L18" s="600"/>
      <c r="M18" s="601"/>
    </row>
    <row r="19" spans="1:15" ht="19.5">
      <c r="A19" s="580">
        <f>+A17+1</f>
        <v>3</v>
      </c>
      <c r="B19" s="581"/>
      <c r="C19" s="599" t="s">
        <v>119</v>
      </c>
      <c r="D19" s="581"/>
      <c r="E19" s="603"/>
      <c r="F19" s="595"/>
      <c r="G19" s="600"/>
      <c r="H19" s="600"/>
      <c r="I19" s="600"/>
      <c r="J19" s="600"/>
      <c r="K19" s="600"/>
      <c r="L19" s="600"/>
      <c r="M19" s="601"/>
    </row>
    <row r="20" spans="1:15" ht="19.5">
      <c r="A20" s="580">
        <f>+A19+1</f>
        <v>4</v>
      </c>
      <c r="B20" s="581"/>
      <c r="C20" s="597" t="s">
        <v>611</v>
      </c>
      <c r="D20" s="597"/>
      <c r="E20" s="602">
        <f>'WS H-p2 Detail of Tax Amts'!E23</f>
        <v>12349280</v>
      </c>
      <c r="F20" s="597"/>
      <c r="G20" s="600">
        <f>+E20</f>
        <v>12349280</v>
      </c>
      <c r="H20" s="600"/>
      <c r="I20" s="600"/>
      <c r="J20" s="600"/>
      <c r="K20" s="600"/>
      <c r="L20" s="600"/>
      <c r="M20" s="601"/>
      <c r="O20" s="173"/>
    </row>
    <row r="21" spans="1:15" ht="19.5">
      <c r="A21" s="580">
        <f>+A20+1</f>
        <v>5</v>
      </c>
      <c r="B21" s="581"/>
      <c r="C21" s="597" t="s">
        <v>612</v>
      </c>
      <c r="D21" s="597"/>
      <c r="E21" s="602">
        <f>'WS H-p2 Detail of Tax Amts'!E30</f>
        <v>0</v>
      </c>
      <c r="F21" s="597"/>
      <c r="G21" s="600">
        <f>+E21</f>
        <v>0</v>
      </c>
      <c r="H21" s="600"/>
      <c r="I21" s="600"/>
      <c r="J21" s="600"/>
      <c r="K21" s="600"/>
      <c r="L21" s="600"/>
      <c r="M21" s="601"/>
      <c r="O21" s="173"/>
    </row>
    <row r="22" spans="1:15" ht="19.5">
      <c r="A22" s="580">
        <f>+A21+1</f>
        <v>6</v>
      </c>
      <c r="B22" s="581"/>
      <c r="C22" s="597" t="s">
        <v>613</v>
      </c>
      <c r="D22" s="597"/>
      <c r="E22" s="602">
        <f>'WS H-p2 Detail of Tax Amts'!E37</f>
        <v>0</v>
      </c>
      <c r="F22" s="597"/>
      <c r="G22" s="600">
        <f>+E22</f>
        <v>0</v>
      </c>
      <c r="H22" s="600"/>
      <c r="I22" s="600"/>
      <c r="J22" s="600"/>
      <c r="K22" s="600"/>
      <c r="L22" s="600"/>
      <c r="M22" s="601"/>
      <c r="O22" s="173"/>
    </row>
    <row r="23" spans="1:15" ht="19.5">
      <c r="A23" s="580">
        <f>+A22+1</f>
        <v>7</v>
      </c>
      <c r="B23" s="581"/>
      <c r="C23" s="597" t="s">
        <v>243</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120</v>
      </c>
      <c r="D25" s="581"/>
      <c r="E25" s="603"/>
      <c r="F25" s="595"/>
      <c r="G25" s="600"/>
      <c r="H25" s="600"/>
      <c r="I25" s="600"/>
      <c r="J25" s="600"/>
      <c r="K25" s="600"/>
      <c r="L25" s="600"/>
      <c r="M25" s="601"/>
      <c r="O25" s="605"/>
    </row>
    <row r="26" spans="1:15" ht="19.5">
      <c r="A26" s="580">
        <f>+A25+1</f>
        <v>9</v>
      </c>
      <c r="B26" s="581"/>
      <c r="C26" s="597" t="s">
        <v>116</v>
      </c>
      <c r="D26" s="581"/>
      <c r="E26" s="602">
        <f>+'WS H-p2 Detail of Tax Amts'!E50</f>
        <v>0</v>
      </c>
      <c r="F26" s="595"/>
      <c r="G26" s="600"/>
      <c r="H26" s="600"/>
      <c r="I26" s="600">
        <f>+E26</f>
        <v>0</v>
      </c>
      <c r="J26" s="600"/>
      <c r="K26" s="600"/>
      <c r="L26" s="600"/>
      <c r="M26" s="601"/>
      <c r="O26" s="605"/>
    </row>
    <row r="27" spans="1:15" ht="19.5">
      <c r="A27" s="580">
        <f>+A26+1</f>
        <v>10</v>
      </c>
      <c r="B27" s="581"/>
      <c r="C27" s="597" t="s">
        <v>109</v>
      </c>
      <c r="D27" s="581"/>
      <c r="E27" s="602">
        <f>+'WS H-p2 Detail of Tax Amts'!E52</f>
        <v>0</v>
      </c>
      <c r="F27" s="595"/>
      <c r="G27" s="595"/>
      <c r="H27" s="595"/>
      <c r="I27" s="601">
        <f>+E27</f>
        <v>0</v>
      </c>
      <c r="J27" s="597"/>
      <c r="K27" s="595"/>
      <c r="L27" s="595"/>
      <c r="M27" s="601"/>
    </row>
    <row r="28" spans="1:15" ht="19.5">
      <c r="A28" s="580">
        <f>+A27+1</f>
        <v>11</v>
      </c>
      <c r="B28" s="581"/>
      <c r="C28" s="597" t="s">
        <v>110</v>
      </c>
      <c r="D28" s="581"/>
      <c r="E28" s="602">
        <f>+'WS H-p2 Detail of Tax Amts'!E54</f>
        <v>0</v>
      </c>
      <c r="F28" s="595"/>
      <c r="G28" s="595"/>
      <c r="H28" s="595"/>
      <c r="I28" s="601">
        <f>+E28</f>
        <v>0</v>
      </c>
      <c r="J28" s="596"/>
      <c r="K28" s="595"/>
      <c r="L28" s="595"/>
      <c r="M28" s="601"/>
    </row>
    <row r="29" spans="1:15" ht="19.5">
      <c r="A29" s="580" t="s">
        <v>408</v>
      </c>
      <c r="B29" s="581"/>
      <c r="C29" s="595"/>
      <c r="D29" s="581"/>
      <c r="E29" s="603"/>
      <c r="F29" s="595"/>
      <c r="G29" s="595"/>
      <c r="H29" s="595"/>
      <c r="I29" s="606"/>
      <c r="J29" s="607"/>
      <c r="K29" s="608"/>
      <c r="L29" s="608"/>
      <c r="M29" s="601"/>
    </row>
    <row r="30" spans="1:15" ht="19.5">
      <c r="A30" s="580">
        <f>A28+1</f>
        <v>12</v>
      </c>
      <c r="B30" s="581"/>
      <c r="C30" s="609" t="s">
        <v>312</v>
      </c>
      <c r="D30" s="581"/>
      <c r="E30" s="610"/>
      <c r="F30" s="611"/>
      <c r="G30" s="611"/>
      <c r="H30" s="611"/>
      <c r="I30" s="612"/>
      <c r="J30" s="613"/>
      <c r="K30" s="614"/>
      <c r="L30" s="614"/>
      <c r="M30" s="615"/>
    </row>
    <row r="31" spans="1:15" ht="19.5">
      <c r="A31" s="580">
        <f>A30+1</f>
        <v>13</v>
      </c>
      <c r="B31" s="581"/>
      <c r="C31" s="597" t="s">
        <v>214</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117</v>
      </c>
      <c r="D33" s="619"/>
      <c r="E33" s="603"/>
      <c r="F33" s="595"/>
      <c r="G33" s="601"/>
      <c r="H33" s="601"/>
      <c r="I33" s="601"/>
      <c r="J33" s="601"/>
      <c r="K33" s="601"/>
      <c r="L33" s="601"/>
      <c r="M33" s="601"/>
    </row>
    <row r="34" spans="1:13" ht="19.5">
      <c r="A34" s="617">
        <f>A33+1</f>
        <v>15</v>
      </c>
      <c r="B34" s="618"/>
      <c r="C34" s="597" t="s">
        <v>213</v>
      </c>
      <c r="D34" s="619"/>
      <c r="E34" s="602">
        <f>+'WS H-p2 Detail of Tax Amts'!E62</f>
        <v>0</v>
      </c>
      <c r="F34" s="616"/>
      <c r="G34" s="601"/>
      <c r="H34" s="601"/>
      <c r="I34" s="601"/>
      <c r="J34" s="601"/>
      <c r="K34" s="601"/>
      <c r="L34" s="601"/>
      <c r="M34" s="601">
        <f>E34</f>
        <v>0</v>
      </c>
    </row>
    <row r="35" spans="1:13" ht="19.5">
      <c r="A35" s="580">
        <f>A34+1</f>
        <v>16</v>
      </c>
      <c r="B35" s="581"/>
      <c r="C35" s="597" t="s">
        <v>111</v>
      </c>
      <c r="D35" s="581"/>
      <c r="E35" s="620">
        <f>+'WS H-p2 Detail of Tax Amts'!E65</f>
        <v>0</v>
      </c>
      <c r="F35" s="595"/>
      <c r="G35" s="601"/>
      <c r="H35" s="601"/>
      <c r="I35" s="601"/>
      <c r="J35" s="601"/>
      <c r="K35" s="601">
        <f>+E35</f>
        <v>0</v>
      </c>
      <c r="L35" s="601"/>
      <c r="M35" s="601"/>
    </row>
    <row r="36" spans="1:13" ht="19.5">
      <c r="A36" s="580">
        <f t="shared" ref="A36:A41" si="0">+A35+1</f>
        <v>17</v>
      </c>
      <c r="B36" s="581"/>
      <c r="C36" s="597" t="s">
        <v>112</v>
      </c>
      <c r="D36" s="173"/>
      <c r="E36" s="620">
        <f>+'WS H-p2 Detail of Tax Amts'!E69</f>
        <v>0</v>
      </c>
      <c r="F36" s="595"/>
      <c r="G36" s="620"/>
      <c r="H36" s="620"/>
      <c r="I36" s="620"/>
      <c r="J36" s="620"/>
      <c r="K36" s="601">
        <f>+E36</f>
        <v>0</v>
      </c>
      <c r="L36" s="620"/>
      <c r="M36" s="601"/>
    </row>
    <row r="37" spans="1:13" ht="19.5">
      <c r="A37" s="580">
        <f>+A36+1</f>
        <v>18</v>
      </c>
      <c r="B37" s="581"/>
      <c r="C37" s="597" t="s">
        <v>113</v>
      </c>
      <c r="D37" s="173"/>
      <c r="E37" s="620">
        <f>'WS H-p2 Detail of Tax Amts'!E81</f>
        <v>0</v>
      </c>
      <c r="F37" s="595"/>
      <c r="G37" s="601"/>
      <c r="H37" s="601"/>
      <c r="I37" s="601"/>
      <c r="J37" s="601"/>
      <c r="K37" s="601">
        <f>+E37</f>
        <v>0</v>
      </c>
      <c r="L37" s="601"/>
      <c r="M37" s="601"/>
    </row>
    <row r="38" spans="1:13" ht="19.5">
      <c r="A38" s="580">
        <f t="shared" si="0"/>
        <v>19</v>
      </c>
      <c r="B38" s="581"/>
      <c r="C38" s="597" t="s">
        <v>114</v>
      </c>
      <c r="D38" s="581"/>
      <c r="E38" s="620">
        <f>+'WS H-p2 Detail of Tax Amts'!E86</f>
        <v>0</v>
      </c>
      <c r="F38" s="595"/>
      <c r="G38" s="601"/>
      <c r="H38" s="601"/>
      <c r="I38" s="601"/>
      <c r="J38" s="601"/>
      <c r="K38" s="601">
        <f>+E38</f>
        <v>0</v>
      </c>
      <c r="L38" s="601"/>
      <c r="M38" s="601"/>
    </row>
    <row r="39" spans="1:13" ht="19.5">
      <c r="A39" s="580">
        <f t="shared" si="0"/>
        <v>20</v>
      </c>
      <c r="B39" s="581"/>
      <c r="C39" s="597" t="s">
        <v>115</v>
      </c>
      <c r="D39" s="581"/>
      <c r="E39" s="620">
        <f>+'WS H-p2 Detail of Tax Amts'!E89</f>
        <v>0</v>
      </c>
      <c r="F39" s="616"/>
      <c r="G39" s="601"/>
      <c r="H39" s="601"/>
      <c r="I39" s="601"/>
      <c r="J39" s="601"/>
      <c r="K39" s="601"/>
      <c r="L39" s="601"/>
      <c r="M39" s="601">
        <f>+E39</f>
        <v>0</v>
      </c>
    </row>
    <row r="40" spans="1:13" ht="19.5">
      <c r="A40" s="580">
        <f t="shared" si="0"/>
        <v>21</v>
      </c>
      <c r="B40" s="595"/>
      <c r="C40" s="597" t="s">
        <v>104</v>
      </c>
      <c r="D40" s="595"/>
      <c r="E40" s="620">
        <f>+'WS H-p2 Detail of Tax Amts'!E95</f>
        <v>0</v>
      </c>
      <c r="F40" s="595"/>
      <c r="G40" s="601"/>
      <c r="H40" s="601"/>
      <c r="I40" s="601"/>
      <c r="J40" s="601"/>
      <c r="K40" s="601"/>
      <c r="L40" s="601"/>
      <c r="M40" s="601">
        <f>+E40</f>
        <v>0</v>
      </c>
    </row>
    <row r="41" spans="1:13" ht="19.5">
      <c r="A41" s="580">
        <f t="shared" si="0"/>
        <v>22</v>
      </c>
      <c r="B41" s="595"/>
      <c r="C41" s="597" t="s">
        <v>400</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108</v>
      </c>
      <c r="D43" s="173"/>
      <c r="E43" s="625">
        <f>SUM(E17:E41)</f>
        <v>12349273</v>
      </c>
      <c r="F43" s="595"/>
      <c r="G43" s="625">
        <f>SUM(G17:G41)</f>
        <v>12349280</v>
      </c>
      <c r="H43" s="621"/>
      <c r="I43" s="625">
        <f>SUM(I17:I41)</f>
        <v>0</v>
      </c>
      <c r="J43" s="622"/>
      <c r="K43" s="625">
        <f>SUM(K17:K41)</f>
        <v>0</v>
      </c>
      <c r="L43" s="623"/>
      <c r="M43" s="625">
        <f>SUM(M17:M41)</f>
        <v>-7</v>
      </c>
    </row>
    <row r="44" spans="1:13" ht="20.25" thickTop="1">
      <c r="A44" s="314"/>
      <c r="B44" s="209"/>
      <c r="C44" s="597" t="s">
        <v>173</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558" t="s">
        <v>242</v>
      </c>
      <c r="D46" s="1558"/>
      <c r="E46" s="1558"/>
      <c r="F46" s="1558"/>
      <c r="G46" s="1558"/>
      <c r="H46" s="1558"/>
      <c r="I46" s="1558"/>
      <c r="J46" s="1558"/>
      <c r="K46" s="1558"/>
      <c r="L46" s="1558"/>
      <c r="M46" s="1558"/>
    </row>
    <row r="47" spans="1:13" ht="78">
      <c r="A47" s="580"/>
      <c r="C47" s="595"/>
      <c r="D47" s="595"/>
      <c r="E47" s="626" t="s">
        <v>313</v>
      </c>
      <c r="G47" s="627" t="s">
        <v>409</v>
      </c>
      <c r="H47" s="627"/>
      <c r="I47" s="626" t="s">
        <v>314</v>
      </c>
      <c r="J47" s="627"/>
      <c r="K47" s="627" t="s">
        <v>128</v>
      </c>
      <c r="L47" s="627"/>
      <c r="M47" s="627" t="s">
        <v>412</v>
      </c>
    </row>
    <row r="48" spans="1:13" ht="19.5">
      <c r="A48" s="628">
        <f>+A43+1</f>
        <v>24</v>
      </c>
      <c r="B48" s="629"/>
      <c r="C48" s="630" t="str">
        <f>"Functionalized Net Plant (TCOS, Lns "&amp;TCOS!B79&amp;" thru "&amp;TCOS!B82&amp;")"</f>
        <v>Functionalized Net Plant (TCOS, Lns 33 thru 36)</v>
      </c>
      <c r="D48" s="616"/>
      <c r="E48" s="631">
        <v>0</v>
      </c>
      <c r="F48" s="630"/>
      <c r="G48" s="631">
        <f>+TCOS!G79</f>
        <v>1749968710.7123077</v>
      </c>
      <c r="H48" s="630"/>
      <c r="I48" s="631">
        <v>0</v>
      </c>
      <c r="J48" s="630"/>
      <c r="K48" s="632">
        <f>+TCOS!G80</f>
        <v>50929263.096153855</v>
      </c>
      <c r="L48" s="616"/>
      <c r="M48" s="633">
        <f>SUM(E48:K48)</f>
        <v>1800897973.8084617</v>
      </c>
    </row>
    <row r="49" spans="1:21" ht="19.5">
      <c r="A49" s="628"/>
      <c r="B49" s="629"/>
      <c r="C49" s="587" t="s">
        <v>614</v>
      </c>
      <c r="D49" s="616"/>
      <c r="E49" s="633"/>
      <c r="F49" s="616"/>
      <c r="G49" s="634"/>
      <c r="H49" s="616"/>
      <c r="I49" s="633"/>
      <c r="J49" s="616"/>
      <c r="K49" s="635"/>
      <c r="L49" s="616"/>
      <c r="M49" s="636"/>
    </row>
    <row r="50" spans="1:21" ht="19.5">
      <c r="A50" s="628">
        <f>+A48+1</f>
        <v>25</v>
      </c>
      <c r="B50" s="629"/>
      <c r="C50" s="616" t="str">
        <f>"Percentage of Plant in "&amp;C49&amp;""</f>
        <v>Percentage of Plant in WEST VIRGINIA JURISDICTION</v>
      </c>
      <c r="D50" s="616"/>
      <c r="E50" s="651"/>
      <c r="F50" s="637"/>
      <c r="G50" s="651">
        <v>1</v>
      </c>
      <c r="H50" s="637"/>
      <c r="I50" s="651"/>
      <c r="J50" s="637"/>
      <c r="K50" s="651">
        <v>1</v>
      </c>
      <c r="L50" s="616"/>
      <c r="M50" s="636"/>
    </row>
    <row r="51" spans="1:21" ht="19.5">
      <c r="A51" s="628">
        <f t="shared" ref="A51:A58" si="1">+A50+1</f>
        <v>26</v>
      </c>
      <c r="B51" s="629"/>
      <c r="C51" s="630" t="str">
        <f>"Net Plant in "&amp;C49&amp;" (Ln "&amp;A48&amp;" * Ln "&amp;A50&amp;")"</f>
        <v>Net Plant in WEST VIRGINIA JURISDICTION (Ln 24 * Ln 25)</v>
      </c>
      <c r="D51" s="616"/>
      <c r="E51" s="633">
        <f>+E48*E50</f>
        <v>0</v>
      </c>
      <c r="F51" s="616"/>
      <c r="G51" s="633">
        <f>+G48*G50</f>
        <v>1749968710.7123077</v>
      </c>
      <c r="H51" s="616"/>
      <c r="I51" s="633">
        <f>+I48*I50</f>
        <v>0</v>
      </c>
      <c r="J51" s="616"/>
      <c r="K51" s="633">
        <f>+K48*K50</f>
        <v>50929263.096153855</v>
      </c>
      <c r="L51" s="616"/>
      <c r="M51" s="633">
        <f>SUM(E51:K51)</f>
        <v>1800897973.8084617</v>
      </c>
      <c r="O51" s="173"/>
    </row>
    <row r="52" spans="1:21" ht="19.5">
      <c r="A52" s="628">
        <f t="shared" si="1"/>
        <v>27</v>
      </c>
      <c r="B52" s="629"/>
      <c r="C52" s="630" t="s">
        <v>543</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1749968710.7123077</v>
      </c>
      <c r="H53" s="616"/>
      <c r="I53" s="633">
        <f>+I51-I52</f>
        <v>0</v>
      </c>
      <c r="J53" s="616"/>
      <c r="K53" s="633">
        <f>+K51-K52</f>
        <v>50929263.096153855</v>
      </c>
      <c r="L53" s="616"/>
      <c r="M53" s="633">
        <f>SUM(E53:K53)</f>
        <v>1800897973.8084617</v>
      </c>
      <c r="O53" s="173"/>
    </row>
    <row r="54" spans="1:21" ht="19.5">
      <c r="A54" s="628">
        <f t="shared" si="1"/>
        <v>29</v>
      </c>
      <c r="B54" s="629"/>
      <c r="C54" s="620" t="s">
        <v>240</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WEST VIRGINIA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615</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____________ JURISDICTION (Ln 24 - Ln 26)</v>
      </c>
      <c r="D61" s="616"/>
      <c r="E61" s="633">
        <f>+E48-E51</f>
        <v>0</v>
      </c>
      <c r="F61" s="616"/>
      <c r="G61" s="633">
        <f>+G48-G51</f>
        <v>0</v>
      </c>
      <c r="H61" s="616"/>
      <c r="I61" s="633">
        <f>+I48-I51</f>
        <v>0</v>
      </c>
      <c r="J61" s="616"/>
      <c r="K61" s="633">
        <f>+K48-K51</f>
        <v>0</v>
      </c>
      <c r="L61" s="616"/>
      <c r="M61" s="633">
        <f>SUM(E61:K61)</f>
        <v>0</v>
      </c>
      <c r="O61" s="173"/>
    </row>
    <row r="62" spans="1:21" ht="19.5">
      <c r="A62" s="628">
        <f t="shared" ref="A62:A68" si="2">+A61+1</f>
        <v>36</v>
      </c>
      <c r="B62" s="629"/>
      <c r="C62" s="630" t="s">
        <v>542</v>
      </c>
      <c r="D62" s="616"/>
      <c r="E62" s="651"/>
      <c r="F62" s="616"/>
      <c r="G62" s="638"/>
      <c r="H62" s="616"/>
      <c r="I62" s="638"/>
      <c r="J62" s="616"/>
      <c r="K62" s="639"/>
      <c r="L62" s="616"/>
      <c r="M62" s="633"/>
      <c r="O62" s="173"/>
    </row>
    <row r="63" spans="1:21" ht="19.5">
      <c r="A63" s="628">
        <f t="shared" si="2"/>
        <v>37</v>
      </c>
      <c r="B63" s="629"/>
      <c r="C63" s="616" t="s">
        <v>241</v>
      </c>
      <c r="D63" s="616"/>
      <c r="E63" s="633">
        <f>+E61-E62</f>
        <v>0</v>
      </c>
      <c r="F63" s="616"/>
      <c r="G63" s="633">
        <f>+G61-G62</f>
        <v>0</v>
      </c>
      <c r="H63" s="616"/>
      <c r="I63" s="633">
        <f>+I61-I62</f>
        <v>0</v>
      </c>
      <c r="J63" s="616"/>
      <c r="K63" s="633">
        <f>+K61-K62</f>
        <v>0</v>
      </c>
      <c r="L63" s="616"/>
      <c r="M63" s="633">
        <f>SUM(E63:K63)</f>
        <v>0</v>
      </c>
      <c r="O63" s="173"/>
    </row>
    <row r="64" spans="1:21" ht="19.5">
      <c r="A64" s="628">
        <f t="shared" si="2"/>
        <v>38</v>
      </c>
      <c r="B64" s="629"/>
      <c r="C64" s="620" t="s">
        <v>240</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____________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T123"/>
  <sheetViews>
    <sheetView view="pageBreakPreview" zoomScale="60" zoomScaleNormal="60" workbookViewId="0">
      <selection activeCell="F99" sqref="F99"/>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8" t="s">
        <v>408</v>
      </c>
    </row>
    <row r="2" spans="1:20" ht="15.75">
      <c r="A2" s="1008" t="s">
        <v>408</v>
      </c>
    </row>
    <row r="3" spans="1:20" ht="18.75" customHeight="1">
      <c r="A3" s="1518" t="str">
        <f>TCOS!$F$5</f>
        <v>AEPTCo subsidiaries in PJM</v>
      </c>
      <c r="B3" s="1518" t="str">
        <f>TCOS!$F$5</f>
        <v>AEPTCo subsidiaries in PJM</v>
      </c>
      <c r="C3" s="1518" t="str">
        <f>TCOS!$F$5</f>
        <v>AEPTCo subsidiaries in PJM</v>
      </c>
      <c r="D3" s="1518" t="str">
        <f>TCOS!$F$5</f>
        <v>AEPTCo subsidiaries in PJM</v>
      </c>
      <c r="E3" s="1518" t="str">
        <f>TCOS!$F$5</f>
        <v>AEPTCo subsidiaries in PJM</v>
      </c>
      <c r="F3" s="1561"/>
      <c r="G3" s="1561"/>
    </row>
    <row r="4" spans="1:20" ht="18.75" customHeight="1">
      <c r="A4" s="1518" t="str">
        <f>"Cost of Service Formula Rate Using Actual/Projected FF1 Balances"</f>
        <v>Cost of Service Formula Rate Using Actual/Projected FF1 Balances</v>
      </c>
      <c r="B4" s="1518"/>
      <c r="C4" s="1518"/>
      <c r="D4" s="1518"/>
      <c r="E4" s="1518"/>
      <c r="F4" s="1561"/>
      <c r="G4" s="1561"/>
      <c r="H4" s="1518"/>
      <c r="I4" s="1518"/>
      <c r="J4" s="1518"/>
      <c r="K4" s="1518"/>
      <c r="L4" s="1518"/>
      <c r="M4" s="1561"/>
    </row>
    <row r="5" spans="1:20" ht="18.75" customHeight="1">
      <c r="A5" s="1511" t="s">
        <v>246</v>
      </c>
      <c r="B5" s="1511"/>
      <c r="C5" s="1511"/>
      <c r="D5" s="1511"/>
      <c r="E5" s="1511"/>
      <c r="F5" s="1561"/>
      <c r="G5" s="1561"/>
    </row>
    <row r="6" spans="1:20" ht="18" customHeight="1">
      <c r="A6" s="1563" t="str">
        <f>+TCOS!F9</f>
        <v>West Virginia Transmission Company</v>
      </c>
      <c r="B6" s="1563"/>
      <c r="C6" s="1563"/>
      <c r="D6" s="1563"/>
      <c r="E6" s="1563"/>
      <c r="F6" s="1564"/>
      <c r="G6" s="1564"/>
      <c r="H6" s="133"/>
      <c r="I6" s="133"/>
      <c r="J6" s="133"/>
      <c r="K6" s="133"/>
      <c r="L6" s="133"/>
      <c r="M6" s="133"/>
    </row>
    <row r="7" spans="1:20" ht="18" customHeight="1">
      <c r="A7" s="81"/>
      <c r="B7" s="81"/>
      <c r="C7" s="81"/>
      <c r="D7" s="81"/>
      <c r="E7" s="81"/>
      <c r="F7" s="81"/>
    </row>
    <row r="8" spans="1:20" ht="19.5" customHeight="1">
      <c r="A8" s="61"/>
      <c r="B8" s="62"/>
      <c r="C8" s="19" t="s">
        <v>454</v>
      </c>
      <c r="E8" s="19" t="s">
        <v>455</v>
      </c>
      <c r="F8" s="116" t="s">
        <v>456</v>
      </c>
      <c r="G8" s="116" t="s">
        <v>457</v>
      </c>
    </row>
    <row r="9" spans="1:20" ht="18">
      <c r="A9" s="96"/>
      <c r="B9" s="97"/>
      <c r="C9" s="97"/>
      <c r="D9" s="97"/>
      <c r="E9"/>
      <c r="F9" s="7"/>
      <c r="G9" s="117"/>
      <c r="H9" s="21"/>
      <c r="I9" s="21"/>
      <c r="J9" s="21"/>
      <c r="K9" s="21"/>
      <c r="L9" s="21"/>
      <c r="M9" s="21"/>
      <c r="N9" s="21"/>
      <c r="O9" s="21"/>
      <c r="P9" s="21"/>
      <c r="Q9" s="21"/>
      <c r="R9" s="21"/>
      <c r="S9" s="21"/>
      <c r="T9" s="21"/>
    </row>
    <row r="10" spans="1:20" ht="18">
      <c r="A10" s="96" t="s">
        <v>461</v>
      </c>
      <c r="B10" s="97"/>
      <c r="C10" s="97"/>
      <c r="D10" s="97"/>
      <c r="E10" s="98" t="s">
        <v>412</v>
      </c>
      <c r="F10" s="118" t="s">
        <v>2</v>
      </c>
      <c r="G10" s="119"/>
    </row>
    <row r="11" spans="1:20" ht="18">
      <c r="A11" s="99" t="s">
        <v>411</v>
      </c>
      <c r="B11" s="120"/>
      <c r="C11" s="99" t="s">
        <v>260</v>
      </c>
      <c r="D11" s="120"/>
      <c r="E11" s="100" t="s">
        <v>475</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-7</v>
      </c>
      <c r="F14" s="70"/>
      <c r="G14" s="122"/>
    </row>
    <row r="15" spans="1:20" ht="19.5">
      <c r="A15" s="61"/>
      <c r="B15" s="62"/>
      <c r="C15" s="57"/>
      <c r="D15" s="1318"/>
      <c r="E15" s="123"/>
      <c r="F15" s="1071">
        <v>-7</v>
      </c>
      <c r="G15" s="124"/>
    </row>
    <row r="16" spans="1:20" ht="19.5">
      <c r="A16" s="61"/>
      <c r="B16" s="62"/>
      <c r="C16" s="57"/>
      <c r="D16" s="1318"/>
      <c r="E16" s="123"/>
      <c r="F16" s="652"/>
      <c r="G16" s="124"/>
    </row>
    <row r="17" spans="1:9" ht="19.5">
      <c r="A17" s="61"/>
      <c r="B17" s="62"/>
      <c r="C17" s="57"/>
      <c r="D17" s="62"/>
      <c r="E17" s="123"/>
      <c r="F17" s="1069"/>
      <c r="G17" s="124"/>
    </row>
    <row r="18" spans="1:9" ht="19.5">
      <c r="A18" s="1072"/>
      <c r="B18" s="1073"/>
      <c r="C18" s="1012"/>
      <c r="D18" s="1073"/>
      <c r="E18" s="1011"/>
      <c r="F18" s="1010"/>
      <c r="G18" s="1009"/>
      <c r="H18" s="1013"/>
      <c r="I18" s="1013"/>
    </row>
    <row r="19" spans="1:9" ht="18">
      <c r="A19" s="1256"/>
      <c r="B19" s="1257"/>
      <c r="C19" s="1259" t="s">
        <v>454</v>
      </c>
      <c r="D19" s="1259" t="s">
        <v>455</v>
      </c>
      <c r="E19" s="1260" t="s">
        <v>456</v>
      </c>
      <c r="F19" s="1260" t="s">
        <v>457</v>
      </c>
      <c r="G19" s="1260" t="s">
        <v>377</v>
      </c>
      <c r="H19" s="1261" t="s">
        <v>378</v>
      </c>
      <c r="I19" s="1260" t="s">
        <v>379</v>
      </c>
    </row>
    <row r="20" spans="1:9" ht="47.25">
      <c r="A20" s="1256"/>
      <c r="B20" s="1257"/>
      <c r="C20" s="1262" t="s">
        <v>698</v>
      </c>
      <c r="D20" s="1263" t="s">
        <v>694</v>
      </c>
      <c r="E20" s="1264" t="s">
        <v>695</v>
      </c>
      <c r="F20" s="1264" t="s">
        <v>696</v>
      </c>
      <c r="G20" s="1264" t="s">
        <v>4</v>
      </c>
      <c r="H20" s="1265" t="s">
        <v>697</v>
      </c>
      <c r="I20" s="1265" t="s">
        <v>699</v>
      </c>
    </row>
    <row r="21" spans="1:9" ht="19.5">
      <c r="A21" s="1256"/>
      <c r="B21" s="1257"/>
      <c r="C21" s="70"/>
      <c r="D21" s="1257"/>
      <c r="E21" s="128"/>
      <c r="F21" s="1016"/>
      <c r="G21" s="122"/>
      <c r="H21" s="122"/>
      <c r="I21" s="122"/>
    </row>
    <row r="22" spans="1:9" ht="58.5">
      <c r="A22" s="1256">
        <f>+A14+1</f>
        <v>3</v>
      </c>
      <c r="B22" s="1257"/>
      <c r="C22" s="1258" t="str">
        <f>"Real Estate and Personal Property Taxes Total
 (Ln "&amp;A23&amp;" + Ln "&amp;A30 &amp;" + Ln "&amp;A37&amp;" + Ln "&amp;A40&amp;")"</f>
        <v>Real Estate and Personal Property Taxes Total
 (Ln 4 + Ln 5 + Ln 6 + Ln 7)</v>
      </c>
      <c r="D22" s="1257"/>
      <c r="E22" s="1075">
        <f>E23+E30+E37+E40</f>
        <v>12349280</v>
      </c>
      <c r="F22" s="128"/>
      <c r="G22" s="70"/>
      <c r="H22" s="122"/>
      <c r="I22" s="1075">
        <f>I23+I30+I37+I40</f>
        <v>12349280</v>
      </c>
    </row>
    <row r="23" spans="1:9" ht="19.5">
      <c r="A23" s="61">
        <f>+A22+1</f>
        <v>4</v>
      </c>
      <c r="B23" s="62"/>
      <c r="C23" s="60" t="s">
        <v>611</v>
      </c>
      <c r="D23" s="60"/>
      <c r="E23" s="128">
        <f>SUM(F24:F29)</f>
        <v>12349280</v>
      </c>
      <c r="F23" s="123"/>
      <c r="G23" s="70"/>
      <c r="I23" s="128">
        <f>SUM(I24:I29)</f>
        <v>12349280</v>
      </c>
    </row>
    <row r="24" spans="1:9" ht="19.5">
      <c r="A24" s="61"/>
      <c r="B24" s="62"/>
      <c r="C24" s="60"/>
      <c r="D24" s="1318">
        <v>2019</v>
      </c>
      <c r="E24" s="128" t="s">
        <v>408</v>
      </c>
      <c r="F24" s="652">
        <v>331</v>
      </c>
      <c r="G24" s="1018" t="s">
        <v>988</v>
      </c>
      <c r="H24" s="1017">
        <v>1</v>
      </c>
      <c r="I24" s="1016">
        <f t="shared" ref="I24:I29" si="0">F24*H24</f>
        <v>331</v>
      </c>
    </row>
    <row r="25" spans="1:9" ht="19.5">
      <c r="A25" s="61"/>
      <c r="B25" s="62"/>
      <c r="C25" s="60"/>
      <c r="D25" s="1318">
        <v>2020</v>
      </c>
      <c r="E25" s="128" t="s">
        <v>408</v>
      </c>
      <c r="F25" s="652">
        <v>5323220</v>
      </c>
      <c r="G25" s="1018" t="s">
        <v>989</v>
      </c>
      <c r="H25" s="1017">
        <v>1</v>
      </c>
      <c r="I25" s="1016">
        <f t="shared" si="0"/>
        <v>5323220</v>
      </c>
    </row>
    <row r="26" spans="1:9" ht="19.5">
      <c r="A26" s="61"/>
      <c r="B26" s="62"/>
      <c r="C26" s="60"/>
      <c r="D26" s="1318">
        <v>2021</v>
      </c>
      <c r="E26" s="128"/>
      <c r="F26" s="652">
        <v>7025729</v>
      </c>
      <c r="G26" s="1018" t="s">
        <v>989</v>
      </c>
      <c r="H26" s="1017">
        <v>1</v>
      </c>
      <c r="I26" s="1016">
        <f t="shared" si="0"/>
        <v>7025729</v>
      </c>
    </row>
    <row r="27" spans="1:9" ht="19.5">
      <c r="A27" s="61"/>
      <c r="B27" s="62"/>
      <c r="C27" s="60"/>
      <c r="D27" s="60"/>
      <c r="E27" s="128"/>
      <c r="F27" s="652"/>
      <c r="G27" s="1018"/>
      <c r="H27" s="1071"/>
      <c r="I27" s="1016">
        <f t="shared" si="0"/>
        <v>0</v>
      </c>
    </row>
    <row r="28" spans="1:9" ht="19.5">
      <c r="A28" s="61"/>
      <c r="B28" s="62"/>
      <c r="C28" s="60"/>
      <c r="D28" s="60"/>
      <c r="E28" s="128"/>
      <c r="F28" s="652"/>
      <c r="G28" s="1018"/>
      <c r="H28" s="1071"/>
      <c r="I28" s="1016">
        <f t="shared" si="0"/>
        <v>0</v>
      </c>
    </row>
    <row r="29" spans="1:9" ht="19.5">
      <c r="A29" s="61"/>
      <c r="B29" s="62"/>
      <c r="C29" s="60"/>
      <c r="D29" s="60"/>
      <c r="E29" s="128"/>
      <c r="F29" s="652"/>
      <c r="G29" s="1018"/>
      <c r="H29" s="1071"/>
      <c r="I29" s="1016">
        <f t="shared" si="0"/>
        <v>0</v>
      </c>
    </row>
    <row r="30" spans="1:9" ht="19.5">
      <c r="A30" s="61">
        <f>+A23+1</f>
        <v>5</v>
      </c>
      <c r="B30" s="62"/>
      <c r="C30" s="60" t="s">
        <v>612</v>
      </c>
      <c r="D30" s="60"/>
      <c r="E30" s="128">
        <f>SUM(F31:F36)</f>
        <v>0</v>
      </c>
      <c r="F30" s="80"/>
      <c r="G30" s="70"/>
      <c r="I30" s="1070">
        <f>SUM(I31:I36)</f>
        <v>0</v>
      </c>
    </row>
    <row r="31" spans="1:9" ht="19.5">
      <c r="A31" s="61"/>
      <c r="B31" s="62"/>
      <c r="C31" s="60"/>
      <c r="D31" s="60"/>
      <c r="E31" s="128"/>
      <c r="F31" s="1071"/>
      <c r="G31" s="1018"/>
      <c r="H31" s="1017"/>
      <c r="I31" s="1016">
        <f t="shared" ref="I31:I36" si="1">F31*H31</f>
        <v>0</v>
      </c>
    </row>
    <row r="32" spans="1:9" ht="19.5">
      <c r="A32" s="61"/>
      <c r="B32" s="62"/>
      <c r="C32" s="60"/>
      <c r="D32" s="60"/>
      <c r="E32" s="128"/>
      <c r="F32" s="1071"/>
      <c r="G32" s="1018"/>
      <c r="H32" s="1071"/>
      <c r="I32" s="1016">
        <f t="shared" si="1"/>
        <v>0</v>
      </c>
    </row>
    <row r="33" spans="1:9" ht="19.5">
      <c r="A33" s="61"/>
      <c r="B33" s="62"/>
      <c r="C33" s="60"/>
      <c r="D33" s="60"/>
      <c r="E33" s="128"/>
      <c r="F33" s="1071"/>
      <c r="G33" s="1018"/>
      <c r="H33" s="1071"/>
      <c r="I33" s="1016">
        <f t="shared" si="1"/>
        <v>0</v>
      </c>
    </row>
    <row r="34" spans="1:9" ht="19.5">
      <c r="A34" s="61"/>
      <c r="B34" s="62"/>
      <c r="C34" s="60"/>
      <c r="D34" s="60"/>
      <c r="E34" s="128"/>
      <c r="F34" s="1071"/>
      <c r="G34" s="1018"/>
      <c r="H34" s="1071"/>
      <c r="I34" s="1016">
        <f t="shared" si="1"/>
        <v>0</v>
      </c>
    </row>
    <row r="35" spans="1:9" ht="19.5">
      <c r="A35" s="61"/>
      <c r="B35" s="62"/>
      <c r="C35" s="60"/>
      <c r="D35" s="60"/>
      <c r="E35" s="128"/>
      <c r="F35" s="1071"/>
      <c r="G35" s="1018"/>
      <c r="H35" s="1071"/>
      <c r="I35" s="1016">
        <f t="shared" si="1"/>
        <v>0</v>
      </c>
    </row>
    <row r="36" spans="1:9" ht="19.5">
      <c r="A36" s="61"/>
      <c r="B36" s="62"/>
      <c r="C36" s="60"/>
      <c r="D36" s="60"/>
      <c r="E36" s="128"/>
      <c r="F36" s="1071"/>
      <c r="G36" s="1018"/>
      <c r="H36" s="1071"/>
      <c r="I36" s="1016">
        <f t="shared" si="1"/>
        <v>0</v>
      </c>
    </row>
    <row r="37" spans="1:9" ht="19.5">
      <c r="A37" s="61">
        <f>+A30+1</f>
        <v>6</v>
      </c>
      <c r="B37" s="62"/>
      <c r="C37" s="60" t="s">
        <v>613</v>
      </c>
      <c r="D37" s="60"/>
      <c r="E37" s="128">
        <f>+F38+F39</f>
        <v>0</v>
      </c>
      <c r="F37" s="70"/>
      <c r="I37" s="1070">
        <f>SUM(I38:I39)</f>
        <v>0</v>
      </c>
    </row>
    <row r="38" spans="1:9" ht="19.5">
      <c r="A38" s="61"/>
      <c r="B38" s="62"/>
      <c r="C38" s="60"/>
      <c r="D38" s="60"/>
      <c r="E38" s="128"/>
      <c r="F38" s="1071"/>
      <c r="G38" s="1018"/>
      <c r="H38" s="1017"/>
      <c r="I38" s="1016">
        <f>F38*H38</f>
        <v>0</v>
      </c>
    </row>
    <row r="39" spans="1:9" ht="19.5">
      <c r="A39" s="61"/>
      <c r="B39" s="62"/>
      <c r="C39" s="60"/>
      <c r="D39" s="60"/>
      <c r="E39" s="128"/>
      <c r="F39" s="1071"/>
      <c r="G39" s="1018"/>
      <c r="H39" s="1071"/>
      <c r="I39" s="1016">
        <f>F39*H39</f>
        <v>0</v>
      </c>
    </row>
    <row r="40" spans="1:9" ht="19.5">
      <c r="A40" s="61">
        <f>+A37+1</f>
        <v>7</v>
      </c>
      <c r="B40" s="62"/>
      <c r="C40" s="60" t="s">
        <v>243</v>
      </c>
      <c r="D40" s="105"/>
      <c r="E40" s="128">
        <f>+F41</f>
        <v>0</v>
      </c>
      <c r="F40" s="125"/>
      <c r="I40" s="1070">
        <f>SUM(I41)</f>
        <v>0</v>
      </c>
    </row>
    <row r="41" spans="1:9" ht="19.5">
      <c r="A41" s="61"/>
      <c r="B41" s="62"/>
      <c r="C41" s="60"/>
      <c r="D41" s="105"/>
      <c r="E41" s="128"/>
      <c r="F41" s="1071"/>
      <c r="G41" s="1018"/>
      <c r="H41" s="1071"/>
      <c r="I41" s="1016">
        <f>F41*H41</f>
        <v>0</v>
      </c>
    </row>
    <row r="42" spans="1:9" ht="19.5">
      <c r="A42" s="1072"/>
      <c r="B42" s="1073"/>
      <c r="C42" s="1074"/>
      <c r="D42" s="1015"/>
      <c r="E42" s="1075"/>
      <c r="F42" s="1014"/>
      <c r="G42" s="1013"/>
      <c r="H42" s="1013"/>
      <c r="I42" s="1013"/>
    </row>
    <row r="43" spans="1:9" ht="23.25" customHeight="1">
      <c r="A43" s="61"/>
      <c r="B43" s="62"/>
      <c r="C43" s="60"/>
      <c r="D43" s="105"/>
      <c r="E43" s="128"/>
      <c r="F43" s="125"/>
    </row>
    <row r="44" spans="1:9" ht="18">
      <c r="A44" s="61"/>
      <c r="B44" s="62"/>
      <c r="C44" s="19" t="s">
        <v>454</v>
      </c>
      <c r="E44" s="19" t="s">
        <v>455</v>
      </c>
      <c r="F44" s="116" t="s">
        <v>456</v>
      </c>
      <c r="G44" s="116" t="s">
        <v>457</v>
      </c>
    </row>
    <row r="45" spans="1:9" ht="18">
      <c r="A45" s="96"/>
      <c r="B45" s="97"/>
      <c r="C45" s="97"/>
      <c r="D45" s="97"/>
      <c r="E45"/>
      <c r="F45" s="7"/>
      <c r="G45" s="117"/>
    </row>
    <row r="46" spans="1:9" ht="18">
      <c r="A46" s="96" t="s">
        <v>461</v>
      </c>
      <c r="B46" s="97"/>
      <c r="C46" s="97"/>
      <c r="D46" s="97"/>
      <c r="E46" s="98" t="s">
        <v>412</v>
      </c>
      <c r="F46" s="118" t="s">
        <v>2</v>
      </c>
      <c r="G46" s="119"/>
    </row>
    <row r="47" spans="1:9" ht="18">
      <c r="A47" s="99" t="s">
        <v>411</v>
      </c>
      <c r="B47" s="120"/>
      <c r="C47" s="99" t="s">
        <v>260</v>
      </c>
      <c r="D47" s="120"/>
      <c r="E47" s="100" t="s">
        <v>475</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652"/>
      <c r="G51" s="124" t="s">
        <v>408</v>
      </c>
    </row>
    <row r="52" spans="1:7" ht="19.5">
      <c r="A52" s="61">
        <f>+A50+1</f>
        <v>10</v>
      </c>
      <c r="B52" s="62"/>
      <c r="C52" s="60" t="s">
        <v>109</v>
      </c>
      <c r="D52" s="62"/>
      <c r="E52" s="128">
        <f>+F53</f>
        <v>0</v>
      </c>
      <c r="F52" s="70"/>
      <c r="G52" s="70"/>
    </row>
    <row r="53" spans="1:7" ht="19.5">
      <c r="A53" s="61"/>
      <c r="B53" s="62"/>
      <c r="C53" s="60"/>
      <c r="D53" s="62"/>
      <c r="E53" s="128"/>
      <c r="F53" s="652"/>
      <c r="G53" s="124" t="s">
        <v>408</v>
      </c>
    </row>
    <row r="54" spans="1:7" ht="19.5">
      <c r="A54" s="61">
        <f>+A52+1</f>
        <v>11</v>
      </c>
      <c r="B54" s="62"/>
      <c r="C54" s="60" t="s">
        <v>110</v>
      </c>
      <c r="D54" s="62"/>
      <c r="E54" s="128">
        <f>+F55+F56+F57</f>
        <v>0</v>
      </c>
      <c r="F54" s="70"/>
      <c r="G54" s="70"/>
    </row>
    <row r="55" spans="1:7" ht="19.5">
      <c r="A55" s="61" t="s">
        <v>408</v>
      </c>
      <c r="B55" s="62"/>
      <c r="C55" s="57"/>
      <c r="D55" s="62"/>
      <c r="E55" s="129"/>
      <c r="F55" s="652"/>
      <c r="G55" s="124" t="s">
        <v>408</v>
      </c>
    </row>
    <row r="56" spans="1:7" ht="19.5">
      <c r="A56" s="61"/>
      <c r="B56" s="62"/>
      <c r="C56" s="57"/>
      <c r="D56" s="62"/>
      <c r="E56" s="129"/>
      <c r="F56" s="652"/>
      <c r="G56" s="124" t="s">
        <v>408</v>
      </c>
    </row>
    <row r="57" spans="1:7" ht="19.5">
      <c r="A57" s="61"/>
      <c r="B57" s="62"/>
      <c r="C57" s="57"/>
      <c r="D57" s="62"/>
      <c r="E57" s="129"/>
      <c r="F57" s="652"/>
      <c r="G57" s="124" t="s">
        <v>408</v>
      </c>
    </row>
    <row r="58" spans="1:7" ht="19.5">
      <c r="A58" s="61">
        <f>A54+1</f>
        <v>12</v>
      </c>
      <c r="B58" s="62"/>
      <c r="C58" s="135" t="s">
        <v>315</v>
      </c>
      <c r="D58" s="62"/>
      <c r="E58" s="134"/>
      <c r="F58" s="70"/>
      <c r="G58" s="70" t="s">
        <v>408</v>
      </c>
    </row>
    <row r="59" spans="1:7" ht="19.5">
      <c r="A59" s="61">
        <f>A58+1</f>
        <v>13</v>
      </c>
      <c r="B59" s="62"/>
      <c r="C59" s="70" t="s">
        <v>214</v>
      </c>
      <c r="D59" s="105"/>
      <c r="E59" s="128">
        <f>+F60</f>
        <v>0</v>
      </c>
      <c r="G59" s="70" t="s">
        <v>408</v>
      </c>
    </row>
    <row r="60" spans="1:7" ht="19.5">
      <c r="A60" s="61"/>
      <c r="B60" s="62"/>
      <c r="C60" s="57"/>
      <c r="D60" s="62"/>
      <c r="E60" s="129"/>
      <c r="F60" s="652"/>
      <c r="G60" s="70" t="s">
        <v>408</v>
      </c>
    </row>
    <row r="61" spans="1:7" ht="19.5">
      <c r="A61" s="67">
        <f>A59+1</f>
        <v>14</v>
      </c>
      <c r="B61" s="68"/>
      <c r="C61" s="64" t="s">
        <v>117</v>
      </c>
      <c r="D61" s="69"/>
      <c r="E61" s="129"/>
      <c r="F61" s="123"/>
      <c r="G61" s="70"/>
    </row>
    <row r="62" spans="1:7" ht="19.5">
      <c r="A62" s="67">
        <f>A61+1</f>
        <v>15</v>
      </c>
      <c r="B62" s="68"/>
      <c r="C62" s="57" t="s">
        <v>213</v>
      </c>
      <c r="D62" s="69"/>
      <c r="E62" s="128">
        <f>+F63+F64</f>
        <v>0</v>
      </c>
      <c r="F62" s="70"/>
      <c r="G62" s="70" t="s">
        <v>408</v>
      </c>
    </row>
    <row r="63" spans="1:7" ht="19.5">
      <c r="A63" s="67"/>
      <c r="B63" s="68"/>
      <c r="C63" s="57"/>
      <c r="D63" s="69"/>
      <c r="E63" s="128"/>
      <c r="F63" s="652"/>
      <c r="G63" s="124" t="s">
        <v>408</v>
      </c>
    </row>
    <row r="64" spans="1:7" ht="19.5">
      <c r="A64" s="67"/>
      <c r="B64" s="68"/>
      <c r="C64" s="57"/>
      <c r="D64" s="69"/>
      <c r="E64" s="128"/>
      <c r="F64" s="652"/>
      <c r="G64" s="124" t="s">
        <v>408</v>
      </c>
    </row>
    <row r="65" spans="1:7" ht="19.5">
      <c r="A65" s="61">
        <f>A62+1</f>
        <v>16</v>
      </c>
      <c r="B65" s="62"/>
      <c r="C65" s="57" t="s">
        <v>111</v>
      </c>
      <c r="D65" s="62"/>
      <c r="E65" s="80">
        <f>+F66+F67+F68</f>
        <v>0</v>
      </c>
      <c r="F65" s="70"/>
      <c r="G65" s="70" t="s">
        <v>408</v>
      </c>
    </row>
    <row r="66" spans="1:7" ht="19.5">
      <c r="A66" s="61"/>
      <c r="B66" s="62"/>
      <c r="C66" s="57"/>
      <c r="D66" s="62"/>
      <c r="E66" s="80"/>
      <c r="F66" s="652">
        <v>0</v>
      </c>
      <c r="G66" s="124" t="s">
        <v>408</v>
      </c>
    </row>
    <row r="67" spans="1:7" ht="19.5">
      <c r="A67" s="61"/>
      <c r="B67" s="62"/>
      <c r="C67" s="57"/>
      <c r="D67" s="62"/>
      <c r="E67" s="80"/>
      <c r="F67" s="652"/>
      <c r="G67" s="124" t="s">
        <v>408</v>
      </c>
    </row>
    <row r="68" spans="1:7" ht="19.5">
      <c r="A68" s="61"/>
      <c r="B68" s="62"/>
      <c r="C68" s="57"/>
      <c r="D68" s="62"/>
      <c r="E68" s="80"/>
      <c r="F68" s="652"/>
      <c r="G68" s="124" t="s">
        <v>408</v>
      </c>
    </row>
    <row r="69" spans="1:7" ht="19.5">
      <c r="A69" s="61">
        <f>+A65+1</f>
        <v>17</v>
      </c>
      <c r="B69" s="62"/>
      <c r="C69" s="57" t="s">
        <v>112</v>
      </c>
      <c r="D69"/>
      <c r="E69" s="80">
        <f>SUM(F70:F80)</f>
        <v>0</v>
      </c>
      <c r="F69" s="70"/>
      <c r="G69" s="70" t="s">
        <v>408</v>
      </c>
    </row>
    <row r="70" spans="1:7" ht="19.5">
      <c r="A70" s="61"/>
      <c r="B70" s="62"/>
      <c r="C70" s="57"/>
      <c r="D70"/>
      <c r="E70" s="80"/>
      <c r="F70" s="652"/>
      <c r="G70" s="124" t="s">
        <v>408</v>
      </c>
    </row>
    <row r="71" spans="1:7" ht="19.5">
      <c r="A71" s="61"/>
      <c r="B71" s="62"/>
      <c r="C71" s="57"/>
      <c r="D71"/>
      <c r="E71" s="80"/>
      <c r="F71" s="652"/>
      <c r="G71" s="124" t="s">
        <v>408</v>
      </c>
    </row>
    <row r="72" spans="1:7" ht="19.5">
      <c r="A72" s="61"/>
      <c r="B72" s="62"/>
      <c r="C72" s="57"/>
      <c r="D72"/>
      <c r="E72" s="80"/>
      <c r="F72" s="652"/>
      <c r="G72" s="124" t="s">
        <v>408</v>
      </c>
    </row>
    <row r="73" spans="1:7" ht="19.5">
      <c r="A73" s="61"/>
      <c r="B73" s="62"/>
      <c r="C73" s="57"/>
      <c r="D73"/>
      <c r="E73" s="80"/>
      <c r="F73" s="652"/>
      <c r="G73" s="124" t="s">
        <v>408</v>
      </c>
    </row>
    <row r="74" spans="1:7" ht="19.5">
      <c r="A74" s="61"/>
      <c r="B74" s="62"/>
      <c r="C74" s="57"/>
      <c r="D74"/>
      <c r="E74" s="80"/>
      <c r="F74" s="652"/>
      <c r="G74" s="124" t="s">
        <v>408</v>
      </c>
    </row>
    <row r="75" spans="1:7" ht="19.5">
      <c r="A75" s="61"/>
      <c r="B75" s="62"/>
      <c r="C75" s="57"/>
      <c r="D75"/>
      <c r="E75" s="80"/>
      <c r="F75" s="652"/>
      <c r="G75" s="124" t="s">
        <v>408</v>
      </c>
    </row>
    <row r="76" spans="1:7" ht="19.5">
      <c r="A76" s="61"/>
      <c r="B76" s="62"/>
      <c r="C76" s="57"/>
      <c r="D76"/>
      <c r="E76" s="80"/>
      <c r="F76" s="652"/>
      <c r="G76" s="124" t="s">
        <v>408</v>
      </c>
    </row>
    <row r="77" spans="1:7" ht="19.5">
      <c r="A77" s="61"/>
      <c r="B77" s="62"/>
      <c r="C77" s="57"/>
      <c r="D77"/>
      <c r="E77" s="80"/>
      <c r="F77" s="652"/>
      <c r="G77" s="124" t="s">
        <v>408</v>
      </c>
    </row>
    <row r="78" spans="1:7" ht="19.5">
      <c r="A78" s="61"/>
      <c r="B78" s="62"/>
      <c r="C78" s="57"/>
      <c r="D78"/>
      <c r="E78" s="80"/>
      <c r="F78" s="652"/>
      <c r="G78" s="124" t="s">
        <v>408</v>
      </c>
    </row>
    <row r="79" spans="1:7" ht="19.5">
      <c r="A79" s="61"/>
      <c r="B79" s="62"/>
      <c r="C79" s="57"/>
      <c r="D79"/>
      <c r="E79" s="80"/>
      <c r="F79" s="652"/>
      <c r="G79" s="124" t="s">
        <v>408</v>
      </c>
    </row>
    <row r="80" spans="1:7" ht="19.5">
      <c r="A80" s="61"/>
      <c r="B80" s="62"/>
      <c r="C80" s="57"/>
      <c r="D80"/>
      <c r="E80" s="80"/>
      <c r="F80" s="652"/>
      <c r="G80" s="124" t="s">
        <v>408</v>
      </c>
    </row>
    <row r="81" spans="1:7" ht="19.5">
      <c r="A81" s="61">
        <f>+A69+1</f>
        <v>18</v>
      </c>
      <c r="B81" s="62"/>
      <c r="C81" s="57" t="s">
        <v>113</v>
      </c>
      <c r="D81"/>
      <c r="E81" s="80">
        <f>SUM(F82:F85)</f>
        <v>0</v>
      </c>
      <c r="F81" s="70"/>
      <c r="G81" s="70"/>
    </row>
    <row r="82" spans="1:7" ht="19.5">
      <c r="A82" s="61"/>
      <c r="B82" s="62"/>
      <c r="C82" s="57"/>
      <c r="D82"/>
      <c r="E82" s="80"/>
      <c r="F82" s="652">
        <v>0</v>
      </c>
      <c r="G82" s="124"/>
    </row>
    <row r="83" spans="1:7" ht="19.5">
      <c r="A83" s="61"/>
      <c r="B83" s="62"/>
      <c r="C83" s="57"/>
      <c r="D83"/>
      <c r="E83" s="80"/>
      <c r="F83" s="652"/>
      <c r="G83" s="124" t="s">
        <v>408</v>
      </c>
    </row>
    <row r="84" spans="1:7" ht="19.5">
      <c r="A84" s="61"/>
      <c r="B84" s="62"/>
      <c r="C84" s="57"/>
      <c r="D84"/>
      <c r="E84" s="80"/>
      <c r="F84" s="652"/>
      <c r="G84" s="124" t="s">
        <v>408</v>
      </c>
    </row>
    <row r="85" spans="1:7" ht="19.5">
      <c r="A85" s="61"/>
      <c r="B85" s="62"/>
      <c r="C85" s="57"/>
      <c r="D85"/>
      <c r="E85" s="80"/>
      <c r="F85" s="652"/>
      <c r="G85" s="124" t="s">
        <v>408</v>
      </c>
    </row>
    <row r="86" spans="1:7" ht="19.5">
      <c r="A86" s="61">
        <f>+A81+1</f>
        <v>19</v>
      </c>
      <c r="B86" s="62"/>
      <c r="C86" s="57" t="s">
        <v>114</v>
      </c>
      <c r="D86" s="62"/>
      <c r="E86" s="80">
        <f>F87</f>
        <v>0</v>
      </c>
      <c r="F86" s="70"/>
      <c r="G86" s="70" t="s">
        <v>408</v>
      </c>
    </row>
    <row r="87" spans="1:7" ht="19.5">
      <c r="A87" s="61"/>
      <c r="B87" s="62"/>
      <c r="C87" s="57"/>
      <c r="D87" s="62"/>
      <c r="E87" s="80"/>
      <c r="F87" s="652"/>
      <c r="G87" s="124" t="s">
        <v>408</v>
      </c>
    </row>
    <row r="88" spans="1:7" ht="19.5">
      <c r="A88" s="61"/>
      <c r="B88" s="62"/>
      <c r="C88" s="57"/>
      <c r="D88" s="62"/>
      <c r="E88" s="80"/>
      <c r="F88" s="152"/>
      <c r="G88" s="70" t="s">
        <v>408</v>
      </c>
    </row>
    <row r="89" spans="1:7" ht="19.5">
      <c r="A89" s="61">
        <f>+A86+1</f>
        <v>20</v>
      </c>
      <c r="B89" s="62"/>
      <c r="C89" s="57" t="s">
        <v>115</v>
      </c>
      <c r="D89" s="62"/>
      <c r="E89" s="80">
        <f>SUM(F90:F94)</f>
        <v>0</v>
      </c>
      <c r="F89" s="70"/>
      <c r="G89" s="124" t="s">
        <v>408</v>
      </c>
    </row>
    <row r="90" spans="1:7" ht="19.5">
      <c r="A90" s="61"/>
      <c r="B90" s="62"/>
      <c r="C90" s="57"/>
      <c r="D90" s="62"/>
      <c r="E90" s="80"/>
      <c r="F90" s="652">
        <v>0</v>
      </c>
      <c r="G90" s="124"/>
    </row>
    <row r="91" spans="1:7" ht="19.5">
      <c r="A91" s="61"/>
      <c r="B91" s="62"/>
      <c r="C91" s="57"/>
      <c r="D91" s="62"/>
      <c r="E91" s="80"/>
      <c r="F91" s="652"/>
      <c r="G91" s="124" t="s">
        <v>408</v>
      </c>
    </row>
    <row r="92" spans="1:7" ht="19.5">
      <c r="A92" s="61"/>
      <c r="B92" s="62"/>
      <c r="C92" s="57"/>
      <c r="D92" s="62"/>
      <c r="E92" s="80"/>
      <c r="F92" s="652"/>
      <c r="G92" s="124" t="s">
        <v>408</v>
      </c>
    </row>
    <row r="93" spans="1:7" ht="19.5">
      <c r="A93" s="61"/>
      <c r="B93" s="62"/>
      <c r="C93" s="57"/>
      <c r="D93" s="62"/>
      <c r="E93" s="80"/>
      <c r="F93" s="652"/>
      <c r="G93" s="124" t="s">
        <v>408</v>
      </c>
    </row>
    <row r="94" spans="1:7" ht="19.5">
      <c r="A94" s="61"/>
      <c r="B94" s="62"/>
      <c r="C94" s="57"/>
      <c r="D94" s="62"/>
      <c r="E94" s="80"/>
      <c r="F94" s="652"/>
      <c r="G94" s="124" t="s">
        <v>408</v>
      </c>
    </row>
    <row r="95" spans="1:7" ht="19.5">
      <c r="A95" s="61">
        <f>+A89+1</f>
        <v>21</v>
      </c>
      <c r="B95" s="57"/>
      <c r="C95" s="57" t="s">
        <v>104</v>
      </c>
      <c r="D95" s="57"/>
      <c r="E95" s="80">
        <f>SUM(F96:F97)</f>
        <v>0</v>
      </c>
      <c r="F95" s="127"/>
      <c r="G95" s="124" t="s">
        <v>408</v>
      </c>
    </row>
    <row r="96" spans="1:7" ht="19.5">
      <c r="A96" s="61"/>
      <c r="B96" s="57"/>
      <c r="C96" s="57"/>
      <c r="D96" s="57"/>
      <c r="E96" s="122"/>
      <c r="F96" s="652"/>
      <c r="G96" s="124" t="s">
        <v>408</v>
      </c>
    </row>
    <row r="97" spans="1:7" ht="19.5">
      <c r="A97" s="61"/>
      <c r="B97" s="57"/>
      <c r="C97" s="57"/>
      <c r="D97" s="57"/>
      <c r="E97" s="122"/>
      <c r="F97" s="652"/>
      <c r="G97" s="124" t="s">
        <v>408</v>
      </c>
    </row>
    <row r="98" spans="1:7" ht="19.5">
      <c r="A98" s="61">
        <f>+A95+1</f>
        <v>22</v>
      </c>
      <c r="B98" s="57"/>
      <c r="C98" s="74"/>
      <c r="D98" s="70"/>
      <c r="E98" s="128">
        <f>+F99</f>
        <v>0</v>
      </c>
      <c r="G98" s="70" t="s">
        <v>408</v>
      </c>
    </row>
    <row r="99" spans="1:7" ht="19.5">
      <c r="A99" s="61"/>
      <c r="B99" s="57"/>
      <c r="C99" s="74"/>
      <c r="D99" s="70"/>
      <c r="E99" s="129"/>
      <c r="F99" s="652"/>
      <c r="G99" s="70" t="s">
        <v>408</v>
      </c>
    </row>
    <row r="100" spans="1:7" ht="19.5">
      <c r="A100" s="4"/>
      <c r="B100" s="115"/>
      <c r="C100" s="115"/>
      <c r="D100"/>
      <c r="E100"/>
      <c r="F100" s="127"/>
      <c r="G100" s="70"/>
    </row>
    <row r="101" spans="1:7" ht="20.25" thickBot="1">
      <c r="A101" s="112">
        <f>+A98+1</f>
        <v>23</v>
      </c>
      <c r="B101" s="115"/>
      <c r="C101" s="57" t="s">
        <v>108</v>
      </c>
      <c r="D101"/>
      <c r="E101" s="73">
        <f>E22+E14+E81+E89</f>
        <v>12349273</v>
      </c>
      <c r="F101" s="73">
        <f>SUM(F14:F99)</f>
        <v>12349273</v>
      </c>
      <c r="G101" s="70"/>
    </row>
    <row r="102" spans="1:7" ht="20.25" thickTop="1">
      <c r="A102" s="4"/>
      <c r="B102" s="115"/>
      <c r="C102" s="57" t="s">
        <v>173</v>
      </c>
      <c r="D102"/>
      <c r="E102"/>
      <c r="F102" s="70"/>
      <c r="G102" s="70"/>
    </row>
    <row r="103" spans="1:7" ht="19.5">
      <c r="A103" s="4"/>
      <c r="B103" s="115"/>
      <c r="C103" s="57"/>
      <c r="D103"/>
      <c r="E103"/>
      <c r="F103" s="80" t="s">
        <v>408</v>
      </c>
      <c r="G103" s="70"/>
    </row>
    <row r="104" spans="1:7" ht="21.75" customHeight="1">
      <c r="A104" s="1562" t="s">
        <v>773</v>
      </c>
      <c r="B104" s="1562"/>
      <c r="C104" s="1562"/>
      <c r="D104" s="1562"/>
      <c r="E104" s="1562"/>
      <c r="F104" s="1562"/>
      <c r="G104" s="1562"/>
    </row>
    <row r="105" spans="1:7" ht="21.75" customHeight="1">
      <c r="A105" s="1562"/>
      <c r="B105" s="1562"/>
      <c r="C105" s="1562"/>
      <c r="D105" s="1562"/>
      <c r="E105" s="1562"/>
      <c r="F105" s="1562"/>
      <c r="G105" s="1562"/>
    </row>
    <row r="106" spans="1:7" ht="21.75" customHeight="1">
      <c r="A106" s="1562"/>
      <c r="B106" s="1562"/>
      <c r="C106" s="1562"/>
      <c r="D106" s="1562"/>
      <c r="E106" s="1562"/>
      <c r="F106" s="1562"/>
      <c r="G106" s="1562"/>
    </row>
    <row r="107" spans="1:7" ht="21.75" customHeight="1">
      <c r="A107" s="1562"/>
      <c r="B107" s="1562"/>
      <c r="C107" s="1562"/>
      <c r="D107" s="1562"/>
      <c r="E107" s="1562"/>
      <c r="F107" s="1562"/>
      <c r="G107" s="1562"/>
    </row>
    <row r="108" spans="1:7" ht="21.75" customHeight="1">
      <c r="A108" s="1562"/>
      <c r="B108" s="1562"/>
      <c r="C108" s="1562"/>
      <c r="D108" s="1562"/>
      <c r="E108" s="1562"/>
      <c r="F108" s="1562"/>
      <c r="G108" s="1562"/>
    </row>
    <row r="109" spans="1:7" ht="19.5">
      <c r="A109" s="1266"/>
      <c r="B109" s="79"/>
      <c r="C109" s="79"/>
      <c r="D109" s="79"/>
      <c r="E109" s="1267"/>
      <c r="F109" s="70"/>
      <c r="G109" s="70"/>
    </row>
    <row r="110" spans="1:7" ht="30" customHeight="1">
      <c r="A110" s="1560" t="s">
        <v>700</v>
      </c>
      <c r="B110" s="1560"/>
      <c r="C110" s="1560"/>
      <c r="D110" s="1560"/>
      <c r="E110" s="1560"/>
      <c r="F110" s="1560"/>
      <c r="G110" s="1560"/>
    </row>
    <row r="111" spans="1:7" ht="30" customHeight="1">
      <c r="A111" s="1560"/>
      <c r="B111" s="1560"/>
      <c r="C111" s="1560"/>
      <c r="D111" s="1560"/>
      <c r="E111" s="1560"/>
      <c r="F111" s="1560"/>
      <c r="G111" s="1560"/>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8" t="s">
        <v>408</v>
      </c>
    </row>
    <row r="2" spans="1:13" ht="15.75">
      <c r="A2" s="1008" t="s">
        <v>408</v>
      </c>
    </row>
    <row r="3" spans="1:13" ht="18">
      <c r="A3" s="1566" t="str">
        <f>TCOS!$F$5</f>
        <v>AEPTCo subsidiaries in PJM</v>
      </c>
      <c r="B3" s="1566" t="str">
        <f>TCOS!$F$5</f>
        <v>AEPTCo subsidiaries in PJM</v>
      </c>
      <c r="C3" s="1566" t="str">
        <f>TCOS!$F$5</f>
        <v>AEPTCo subsidiaries in PJM</v>
      </c>
      <c r="D3" s="1566" t="str">
        <f>TCOS!$F$5</f>
        <v>AEPTCo subsidiaries in PJM</v>
      </c>
      <c r="E3" s="1566" t="str">
        <f>TCOS!$F$5</f>
        <v>AEPTCo subsidiaries in PJM</v>
      </c>
      <c r="F3" s="1566" t="str">
        <f>TCOS!$F$5</f>
        <v>AEPTCo subsidiaries in PJM</v>
      </c>
      <c r="G3" s="1566" t="str">
        <f>TCOS!$F$5</f>
        <v>AEPTCo subsidiaries in PJM</v>
      </c>
      <c r="H3" s="1566" t="str">
        <f>TCOS!$F$5</f>
        <v>AEPTCo subsidiaries in PJM</v>
      </c>
      <c r="I3" s="1566" t="str">
        <f>TCOS!$F$5</f>
        <v>AEPTCo subsidiaries in PJM</v>
      </c>
      <c r="J3" s="1566" t="str">
        <f>TCOS!$F$5</f>
        <v>AEPTCo subsidiaries in PJM</v>
      </c>
      <c r="K3" s="77"/>
      <c r="L3" s="77"/>
      <c r="M3" s="77"/>
    </row>
    <row r="4" spans="1:13" ht="18">
      <c r="A4" s="1565" t="str">
        <f>"Cost of Service Formula Rate Using Actual/Projected FF1 Balances"</f>
        <v>Cost of Service Formula Rate Using Actual/Projected FF1 Balances</v>
      </c>
      <c r="B4" s="1565"/>
      <c r="C4" s="1565"/>
      <c r="D4" s="1565"/>
      <c r="E4" s="1565"/>
      <c r="F4" s="1565"/>
      <c r="G4" s="1565"/>
      <c r="H4" s="1565"/>
      <c r="I4" s="1565"/>
      <c r="J4" s="1565"/>
      <c r="K4" s="52"/>
      <c r="L4" s="52"/>
      <c r="M4" s="52"/>
    </row>
    <row r="5" spans="1:13" ht="18">
      <c r="A5" s="1565" t="s">
        <v>589</v>
      </c>
      <c r="B5" s="1565"/>
      <c r="C5" s="1565"/>
      <c r="D5" s="1565"/>
      <c r="E5" s="1565"/>
      <c r="F5" s="1565"/>
      <c r="G5" s="1565"/>
      <c r="H5" s="1565"/>
      <c r="I5" s="1565"/>
      <c r="J5" s="1565"/>
      <c r="K5" s="78"/>
      <c r="L5" s="78"/>
      <c r="M5" s="78"/>
    </row>
    <row r="6" spans="1:13" ht="18">
      <c r="A6" s="1557" t="str">
        <f>+TCOS!F9</f>
        <v>West Virginia Transmission Company</v>
      </c>
      <c r="B6" s="1557"/>
      <c r="C6" s="1557"/>
      <c r="D6" s="1557"/>
      <c r="E6" s="1557"/>
      <c r="F6" s="1557"/>
      <c r="G6" s="1557"/>
      <c r="H6" s="1557"/>
      <c r="I6" s="1557"/>
      <c r="J6" s="1557"/>
      <c r="K6" s="81"/>
      <c r="L6" s="81"/>
      <c r="M6" s="81"/>
    </row>
    <row r="7" spans="1:13">
      <c r="H7" s="82"/>
    </row>
    <row r="8" spans="1:13" ht="15.75">
      <c r="D8" s="150" t="s">
        <v>556</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0" tint="-0.14999847407452621"/>
  </sheetPr>
  <dimension ref="A1:Q1070"/>
  <sheetViews>
    <sheetView view="pageBreakPreview" zoomScale="70" zoomScaleNormal="100" zoomScaleSheetLayoutView="70" workbookViewId="0">
      <selection activeCell="A3" sqref="A3:O3"/>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8" t="s">
        <v>408</v>
      </c>
    </row>
    <row r="2" spans="1:16" ht="15.75">
      <c r="A2" s="1008" t="s">
        <v>408</v>
      </c>
    </row>
    <row r="3" spans="1:16"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c r="N3" s="1510" t="str">
        <f>TCOS!$F$5</f>
        <v>AEPTCo subsidiaries in PJM</v>
      </c>
      <c r="O3" s="1510" t="str">
        <f>TCOS!$F$5</f>
        <v>AEPTCo subsidiaries in PJM</v>
      </c>
      <c r="P3" s="156"/>
    </row>
    <row r="4" spans="1:16" ht="15">
      <c r="A4" s="1543" t="str">
        <f>"Cost of Service Formula Rate Using Actual/Projected FF1 Balances"</f>
        <v>Cost of Service Formula Rate Using Actual/Projected FF1 Balances</v>
      </c>
      <c r="B4" s="1543"/>
      <c r="C4" s="1543"/>
      <c r="D4" s="1543"/>
      <c r="E4" s="1543"/>
      <c r="F4" s="1543"/>
      <c r="G4" s="1543"/>
      <c r="H4" s="1543"/>
      <c r="I4" s="1543"/>
      <c r="J4" s="1543"/>
      <c r="K4" s="1543"/>
      <c r="L4" s="1543"/>
      <c r="M4" s="1543"/>
      <c r="N4" s="1543"/>
      <c r="O4" s="1543"/>
      <c r="P4" s="156"/>
    </row>
    <row r="5" spans="1:16" ht="15">
      <c r="A5" s="1543" t="s">
        <v>256</v>
      </c>
      <c r="B5" s="1543"/>
      <c r="C5" s="1543"/>
      <c r="D5" s="1543"/>
      <c r="E5" s="1543"/>
      <c r="F5" s="1543"/>
      <c r="G5" s="1543"/>
      <c r="H5" s="1543"/>
      <c r="I5" s="1543"/>
      <c r="J5" s="1543"/>
      <c r="K5" s="1543"/>
      <c r="L5" s="1543"/>
      <c r="M5" s="1543"/>
      <c r="N5" s="1543"/>
      <c r="O5" s="1543"/>
      <c r="P5" s="156"/>
    </row>
    <row r="6" spans="1:16" ht="15">
      <c r="A6" s="1544" t="str">
        <f>TCOS!F9</f>
        <v>West Virginia Transmission Company</v>
      </c>
      <c r="B6" s="1544"/>
      <c r="C6" s="1544"/>
      <c r="D6" s="1544"/>
      <c r="E6" s="1544"/>
      <c r="F6" s="1544"/>
      <c r="G6" s="1544"/>
      <c r="H6" s="1544"/>
      <c r="I6" s="1544"/>
      <c r="J6" s="1544"/>
      <c r="K6" s="1544"/>
      <c r="L6" s="1544"/>
      <c r="M6" s="1544"/>
      <c r="N6" s="1544"/>
      <c r="O6" s="1544"/>
      <c r="P6" s="156"/>
    </row>
    <row r="7" spans="1:16">
      <c r="P7" s="156"/>
    </row>
    <row r="8" spans="1:16" ht="20.25">
      <c r="A8" s="653"/>
      <c r="C8" s="393"/>
      <c r="N8" s="654" t="str">
        <f>"Page "&amp;P8&amp;" of "</f>
        <v xml:space="preserve">Page 1 of </v>
      </c>
      <c r="O8" s="655">
        <f>COUNT(P$8:P$56653)</f>
        <v>12</v>
      </c>
      <c r="P8" s="656">
        <v>1</v>
      </c>
    </row>
    <row r="9" spans="1:16" ht="18">
      <c r="C9" s="657"/>
      <c r="P9" s="156"/>
    </row>
    <row r="10" spans="1:16">
      <c r="P10" s="156"/>
    </row>
    <row r="11" spans="1:16" ht="18">
      <c r="B11" s="658" t="s">
        <v>463</v>
      </c>
      <c r="C11" s="1570" t="str">
        <f>"Calculate Return and Income Taxes with "&amp;F17&amp;" basis point ROE increase for Projects Qualified for Regional Billing."</f>
        <v>Calculate Return and Income Taxes with 0 basis point ROE increase for Projects Qualified for Regional Billing.</v>
      </c>
      <c r="D11" s="1571"/>
      <c r="E11" s="1571"/>
      <c r="F11" s="1571"/>
      <c r="G11" s="1571"/>
      <c r="H11" s="1571"/>
      <c r="P11" s="156"/>
    </row>
    <row r="12" spans="1:16" ht="18.75" customHeight="1">
      <c r="C12" s="1571"/>
      <c r="D12" s="1571"/>
      <c r="E12" s="1571"/>
      <c r="F12" s="1571"/>
      <c r="G12" s="1571"/>
      <c r="H12" s="1571"/>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43</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438</v>
      </c>
      <c r="E20" s="670" t="s">
        <v>437</v>
      </c>
      <c r="F20" s="671" t="s">
        <v>44</v>
      </c>
      <c r="G20" s="662"/>
      <c r="H20" s="664"/>
      <c r="I20" s="664"/>
      <c r="J20" s="665"/>
    </row>
    <row r="21" spans="3:16" ht="13.5" thickBot="1">
      <c r="C21" s="672" t="s">
        <v>48</v>
      </c>
      <c r="D21" s="673">
        <f>TCOS!H233</f>
        <v>0.46131831938863177</v>
      </c>
      <c r="E21" s="674">
        <f>TCOS!J233</f>
        <v>3.6458684207821758E-2</v>
      </c>
      <c r="F21" s="675">
        <f>E21*D21</f>
        <v>1.6819058925873182E-2</v>
      </c>
      <c r="G21" s="662"/>
      <c r="H21" s="664"/>
      <c r="I21" s="676"/>
      <c r="J21" s="677"/>
      <c r="K21" s="440"/>
      <c r="L21" s="440"/>
      <c r="M21" s="440"/>
      <c r="N21" s="440"/>
      <c r="O21" s="440"/>
    </row>
    <row r="22" spans="3:16">
      <c r="C22" s="672" t="s">
        <v>49</v>
      </c>
      <c r="D22" s="673">
        <f>TCOS!H234</f>
        <v>0</v>
      </c>
      <c r="E22" s="674">
        <f>TCOS!J234</f>
        <v>0</v>
      </c>
      <c r="F22" s="675">
        <f>E22*D22</f>
        <v>0</v>
      </c>
      <c r="G22" s="678"/>
      <c r="H22" s="678"/>
      <c r="I22" s="679"/>
      <c r="J22" s="680"/>
      <c r="K22" s="1573" t="s">
        <v>231</v>
      </c>
      <c r="L22" s="1574"/>
      <c r="M22" s="1574"/>
      <c r="N22" s="1574"/>
      <c r="O22" s="1575"/>
      <c r="P22" s="680"/>
    </row>
    <row r="23" spans="3:16">
      <c r="C23" s="681" t="s">
        <v>29</v>
      </c>
      <c r="D23" s="673">
        <f>TCOS!H235</f>
        <v>0.53868168061136823</v>
      </c>
      <c r="E23" s="674">
        <f>+F18</f>
        <v>0.10349999999999999</v>
      </c>
      <c r="F23" s="682">
        <f>E23*D23</f>
        <v>5.5753553943276607E-2</v>
      </c>
      <c r="G23" s="678"/>
      <c r="H23" s="678"/>
      <c r="I23" s="679"/>
      <c r="J23" s="680"/>
      <c r="K23" s="1576"/>
      <c r="L23" s="1577"/>
      <c r="M23" s="1577"/>
      <c r="N23" s="1577"/>
      <c r="O23" s="1578"/>
      <c r="P23" s="680"/>
    </row>
    <row r="24" spans="3:16">
      <c r="C24" s="661"/>
      <c r="D24" s="173"/>
      <c r="E24" s="683" t="s">
        <v>50</v>
      </c>
      <c r="F24" s="675">
        <f>SUM(F21:F23)</f>
        <v>7.2572612869149788E-2</v>
      </c>
      <c r="G24" s="678"/>
      <c r="H24" s="678"/>
      <c r="I24" s="679"/>
      <c r="J24" s="680"/>
      <c r="K24" s="684"/>
      <c r="L24" s="685"/>
      <c r="M24" s="686" t="s">
        <v>45</v>
      </c>
      <c r="N24" s="686" t="s">
        <v>46</v>
      </c>
      <c r="O24" s="687" t="s">
        <v>47</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51</v>
      </c>
      <c r="L26" s="695">
        <f>+TCOS!L4</f>
        <v>2022</v>
      </c>
      <c r="M26" s="960">
        <f>N88+N178+N268+N358+N448+N538+N628+N718+N808+N898+N988</f>
        <v>43989777.198835596</v>
      </c>
      <c r="N26" s="960">
        <f>N89+N179+N269+N359+N449+N539+N629+N719+N809+N899+N989</f>
        <v>43989777.198835596</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1668211131.6948524</v>
      </c>
      <c r="G28" s="689"/>
      <c r="H28" s="689"/>
      <c r="I28" s="689"/>
      <c r="J28" s="689"/>
      <c r="K28" s="697"/>
      <c r="L28" s="697"/>
      <c r="M28" s="697"/>
      <c r="N28" s="697"/>
      <c r="O28" s="700"/>
      <c r="P28" s="689"/>
    </row>
    <row r="29" spans="3:16">
      <c r="C29" s="665" t="s">
        <v>276</v>
      </c>
      <c r="D29" s="701"/>
      <c r="F29" s="675">
        <f>F24</f>
        <v>7.2572612869149788E-2</v>
      </c>
      <c r="G29" s="689"/>
      <c r="H29" s="689"/>
      <c r="I29" s="689"/>
      <c r="J29" s="689"/>
      <c r="K29" s="689"/>
      <c r="L29" s="689"/>
      <c r="M29" s="689"/>
      <c r="N29" s="689"/>
      <c r="O29" s="689"/>
      <c r="P29" s="689"/>
    </row>
    <row r="30" spans="3:16">
      <c r="C30" s="702" t="s">
        <v>53</v>
      </c>
      <c r="D30" s="702"/>
      <c r="F30" s="679">
        <f>F28*F29</f>
        <v>121066440.64449677</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54</v>
      </c>
      <c r="D34" s="683"/>
      <c r="F34" s="707">
        <f>F30</f>
        <v>121066440.64449677</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0.27137661326607793</v>
      </c>
      <c r="G35" s="314"/>
      <c r="H35" s="709"/>
      <c r="I35" s="314"/>
      <c r="J35" s="427"/>
      <c r="K35" s="314"/>
      <c r="L35" s="314"/>
      <c r="M35" s="314"/>
      <c r="N35" s="314"/>
      <c r="O35" s="314"/>
      <c r="P35" s="427"/>
    </row>
    <row r="36" spans="2:16">
      <c r="C36" s="703" t="s">
        <v>55</v>
      </c>
      <c r="D36" s="539"/>
      <c r="F36" s="710">
        <f>F34*F35</f>
        <v>32854600.642282177</v>
      </c>
      <c r="G36" s="314"/>
      <c r="H36" s="709"/>
      <c r="I36" s="314"/>
      <c r="J36" s="427"/>
      <c r="K36" s="314"/>
      <c r="L36" s="314"/>
      <c r="M36" s="314"/>
      <c r="N36" s="314"/>
      <c r="O36" s="314"/>
      <c r="P36" s="427"/>
    </row>
    <row r="37" spans="2:16" ht="15">
      <c r="C37" s="661" t="s">
        <v>97</v>
      </c>
      <c r="D37" s="326"/>
      <c r="F37" s="711">
        <f>TCOS!L178</f>
        <v>0</v>
      </c>
      <c r="G37" s="326"/>
      <c r="H37" s="326"/>
      <c r="I37" s="326"/>
      <c r="J37" s="326"/>
      <c r="K37" s="326"/>
      <c r="L37" s="326"/>
      <c r="M37" s="326"/>
      <c r="N37" s="326"/>
      <c r="O37" s="231"/>
      <c r="P37" s="326"/>
    </row>
    <row r="38" spans="2:16" ht="15">
      <c r="C38" s="661" t="s">
        <v>552</v>
      </c>
      <c r="D38" s="326"/>
      <c r="F38" s="711">
        <f>TCOS!L179</f>
        <v>715290.30337128812</v>
      </c>
      <c r="G38" s="326"/>
      <c r="H38" s="326"/>
      <c r="I38" s="326"/>
      <c r="J38" s="326"/>
      <c r="K38" s="326"/>
      <c r="L38" s="326"/>
      <c r="M38" s="326"/>
      <c r="N38" s="326"/>
      <c r="O38" s="231"/>
      <c r="P38" s="326"/>
    </row>
    <row r="39" spans="2:16" ht="15.75" thickBot="1">
      <c r="C39" s="661" t="s">
        <v>554</v>
      </c>
      <c r="D39" s="326"/>
      <c r="F39" s="712">
        <f>TCOS!L180</f>
        <v>440297.25318891526</v>
      </c>
      <c r="G39" s="326"/>
      <c r="H39" s="326"/>
      <c r="I39" s="326"/>
      <c r="J39" s="326"/>
      <c r="K39" s="326"/>
      <c r="L39" s="326"/>
      <c r="M39" s="326"/>
      <c r="N39" s="326"/>
      <c r="O39" s="231"/>
      <c r="P39" s="326"/>
    </row>
    <row r="40" spans="2:16" ht="15">
      <c r="C40" s="703" t="s">
        <v>56</v>
      </c>
      <c r="D40" s="326"/>
      <c r="F40" s="711">
        <f>F36+F37+F38+F39</f>
        <v>34010188.198842384</v>
      </c>
      <c r="G40" s="963"/>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464</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253</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240661371.94340038</v>
      </c>
      <c r="H47" s="964"/>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64"/>
      <c r="I48" s="714"/>
      <c r="J48" s="714"/>
      <c r="K48" s="714"/>
      <c r="L48" s="714"/>
      <c r="M48" s="714"/>
      <c r="N48" s="714"/>
      <c r="O48" s="711"/>
      <c r="P48" s="714"/>
    </row>
    <row r="49" spans="2:16">
      <c r="B49" s="348"/>
      <c r="C49" s="661" t="str">
        <f>"   Return  (TCOS, ln "&amp;TCOS!B183&amp;")"</f>
        <v xml:space="preserve">   Return  (TCOS, ln 109)</v>
      </c>
      <c r="D49" s="714"/>
      <c r="E49" s="714"/>
      <c r="G49" s="716">
        <f>TCOS!L183</f>
        <v>121066440.64449677</v>
      </c>
      <c r="H49" s="965"/>
      <c r="I49" s="714"/>
      <c r="J49" s="717"/>
      <c r="K49" s="717"/>
      <c r="L49" s="717"/>
      <c r="M49" s="717"/>
      <c r="N49" s="717"/>
      <c r="O49" s="711"/>
      <c r="P49" s="717"/>
    </row>
    <row r="50" spans="2:16">
      <c r="B50" s="348"/>
      <c r="C50" s="661" t="str">
        <f>"   Income Taxes  (TCOS, ln "&amp;TCOS!B181&amp;")"</f>
        <v xml:space="preserve">   Income Taxes  (TCOS, ln 108)</v>
      </c>
      <c r="D50" s="714"/>
      <c r="E50" s="714"/>
      <c r="G50" s="718">
        <f>F40</f>
        <v>34010188.198842384</v>
      </c>
      <c r="H50" s="964"/>
      <c r="I50" s="714"/>
      <c r="J50" s="719"/>
      <c r="K50" s="719"/>
      <c r="L50" s="719"/>
      <c r="M50" s="719"/>
      <c r="N50" s="719"/>
      <c r="O50" s="714"/>
      <c r="P50" s="719"/>
    </row>
    <row r="51" spans="2:16">
      <c r="B51" s="348"/>
      <c r="C51" s="726" t="s">
        <v>609</v>
      </c>
      <c r="D51" s="714"/>
      <c r="E51" s="714"/>
      <c r="G51" s="716">
        <f>G47-G49-G50-G48</f>
        <v>85584743.100061238</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85584743.100061238</v>
      </c>
      <c r="H55" s="711"/>
      <c r="I55" s="714"/>
      <c r="J55" s="714"/>
      <c r="K55" s="714"/>
      <c r="L55" s="714"/>
      <c r="M55" s="714"/>
      <c r="N55" s="714"/>
      <c r="O55" s="724"/>
      <c r="P55" s="714"/>
    </row>
    <row r="56" spans="2:16">
      <c r="B56" s="348"/>
      <c r="C56" s="665" t="s">
        <v>94</v>
      </c>
      <c r="D56" s="725"/>
      <c r="E56" s="726"/>
      <c r="G56" s="727">
        <f>F30</f>
        <v>121066440.64449677</v>
      </c>
      <c r="H56" s="966"/>
      <c r="I56" s="714"/>
      <c r="J56" s="726"/>
      <c r="K56" s="726"/>
      <c r="L56" s="726"/>
      <c r="M56" s="726"/>
      <c r="N56" s="726"/>
      <c r="O56" s="726"/>
      <c r="P56" s="726"/>
    </row>
    <row r="57" spans="2:16" ht="12.75" customHeight="1">
      <c r="B57" s="348"/>
      <c r="C57" s="661" t="s">
        <v>62</v>
      </c>
      <c r="D57" s="714"/>
      <c r="E57" s="714"/>
      <c r="G57" s="718">
        <f>F40</f>
        <v>34010188.198842384</v>
      </c>
      <c r="H57" s="964"/>
      <c r="I57" s="714"/>
      <c r="J57" s="427"/>
      <c r="K57" s="314"/>
      <c r="L57" s="314"/>
      <c r="M57" s="314"/>
      <c r="N57" s="314"/>
      <c r="O57" s="314"/>
      <c r="P57" s="427"/>
    </row>
    <row r="58" spans="2:16">
      <c r="B58" s="348"/>
      <c r="C58" s="726" t="str">
        <f>"   Annual Revenue Requirement, with "&amp;F17&amp;" Basis Point ROE increase"</f>
        <v xml:space="preserve">   Annual Revenue Requirement, with 0 Basis Point ROE increase</v>
      </c>
      <c r="D58" s="539"/>
      <c r="E58" s="314"/>
      <c r="G58" s="710">
        <f>SUM(G55:G57)</f>
        <v>240661371.94340038</v>
      </c>
      <c r="H58" s="967"/>
      <c r="I58" s="714"/>
      <c r="J58" s="427"/>
      <c r="K58" s="314"/>
      <c r="L58" s="314"/>
      <c r="M58" s="314"/>
      <c r="N58" s="314"/>
      <c r="O58" s="314"/>
      <c r="P58" s="427"/>
    </row>
    <row r="59" spans="2:16">
      <c r="B59" s="348"/>
      <c r="C59" s="661" t="str">
        <f>"   Depreciation &amp; Amortization (TCOS, ln "&amp;TCOS!B154&amp;")"</f>
        <v xml:space="preserve">   Depreciation &amp; Amortization (TCOS, ln 83)</v>
      </c>
      <c r="D59" s="539"/>
      <c r="E59" s="314"/>
      <c r="G59" s="728">
        <f>TCOS!L154</f>
        <v>45901005</v>
      </c>
      <c r="H59" s="967"/>
      <c r="I59" s="714"/>
      <c r="J59" s="427"/>
      <c r="K59" s="314"/>
      <c r="L59" s="314"/>
      <c r="M59" s="314"/>
      <c r="N59" s="314"/>
      <c r="O59" s="314"/>
      <c r="P59" s="427"/>
    </row>
    <row r="60" spans="2:16">
      <c r="B60" s="348"/>
      <c r="C60" s="726" t="str">
        <f>"   Annual Rev. Req, w/"&amp;F17&amp;" Basis Point ROE increase, less Depreciation"</f>
        <v xml:space="preserve">   Annual Rev. Req, w/0 Basis Point ROE increase, less Depreciation</v>
      </c>
      <c r="D60" s="539"/>
      <c r="E60" s="314"/>
      <c r="G60" s="710">
        <f>G58-G59</f>
        <v>194760366.94340038</v>
      </c>
      <c r="H60" s="967"/>
      <c r="I60" s="714"/>
      <c r="J60" s="427"/>
      <c r="K60" s="314"/>
      <c r="L60" s="314"/>
      <c r="M60" s="314"/>
      <c r="N60" s="314"/>
      <c r="O60" s="314"/>
      <c r="P60" s="427"/>
    </row>
    <row r="61" spans="2:16">
      <c r="B61" s="348"/>
      <c r="C61" s="314"/>
      <c r="D61" s="539"/>
      <c r="E61" s="314"/>
      <c r="F61" s="314"/>
      <c r="G61" s="314"/>
      <c r="H61" s="968"/>
      <c r="I61" s="714"/>
      <c r="J61" s="427"/>
      <c r="K61" s="314"/>
      <c r="L61" s="314"/>
      <c r="M61" s="314"/>
      <c r="N61" s="314"/>
      <c r="O61" s="314"/>
      <c r="P61" s="427"/>
    </row>
    <row r="62" spans="2:16" ht="15.75">
      <c r="B62" s="348"/>
      <c r="C62" s="660" t="str">
        <f>"C.   Determine FCR with hypothetical "&amp;F17&amp;" basis point ROE increase."</f>
        <v>C.   Determine FCR with hypothetical 0 basis point ROE increase.</v>
      </c>
      <c r="D62" s="539"/>
      <c r="E62" s="314"/>
      <c r="F62" s="314"/>
      <c r="G62" s="314"/>
      <c r="H62" s="968"/>
      <c r="I62" s="714"/>
      <c r="J62" s="427"/>
      <c r="K62" s="314"/>
      <c r="L62" s="314"/>
      <c r="M62" s="314"/>
      <c r="N62" s="314"/>
      <c r="O62" s="314"/>
      <c r="P62" s="427"/>
    </row>
    <row r="63" spans="2:16">
      <c r="B63" s="348"/>
      <c r="C63" s="314"/>
      <c r="D63" s="539"/>
      <c r="E63" s="314"/>
      <c r="F63" s="314"/>
      <c r="G63" s="314"/>
      <c r="H63" s="968"/>
      <c r="I63" s="714"/>
      <c r="J63" s="427"/>
      <c r="K63" s="314"/>
      <c r="L63" s="314"/>
      <c r="M63" s="314"/>
      <c r="N63" s="314"/>
      <c r="O63" s="314"/>
      <c r="P63" s="427"/>
    </row>
    <row r="64" spans="2:16">
      <c r="B64" s="348"/>
      <c r="C64" s="661" t="str">
        <f>"   Net Transmission Plant  (Projected TCOS, ln "&amp;TCOS!B79&amp;")"</f>
        <v xml:space="preserve">   Net Transmission Plant  (Projected TCOS, ln 33)</v>
      </c>
      <c r="D64" s="539"/>
      <c r="E64" s="314"/>
      <c r="G64" s="710">
        <f>TCOS!L79</f>
        <v>1749968710.7123077</v>
      </c>
      <c r="H64" s="967"/>
      <c r="I64" s="714"/>
      <c r="J64" s="427"/>
      <c r="K64" s="314"/>
      <c r="L64" s="314"/>
      <c r="M64" s="314"/>
      <c r="N64" s="314"/>
      <c r="O64" s="314"/>
      <c r="P64" s="427"/>
    </row>
    <row r="65" spans="2:17">
      <c r="B65" s="348"/>
      <c r="C65" s="726" t="str">
        <f>"   Annual Revenue Requirement, with "&amp;F17&amp;" Basis Point ROE increase"</f>
        <v xml:space="preserve">   Annual Revenue Requirement, with 0 Basis Point ROE increase</v>
      </c>
      <c r="D65" s="539"/>
      <c r="E65" s="314"/>
      <c r="G65" s="710">
        <f>G58</f>
        <v>240661371.94340038</v>
      </c>
      <c r="H65" s="967"/>
      <c r="I65" s="714"/>
      <c r="J65" s="427"/>
      <c r="K65" s="314"/>
      <c r="L65" s="314"/>
      <c r="M65" s="314"/>
      <c r="N65" s="314"/>
      <c r="O65" s="314"/>
      <c r="P65" s="427"/>
    </row>
    <row r="66" spans="2:17">
      <c r="B66" s="348"/>
      <c r="C66" s="726" t="str">
        <f>"   FCR with "&amp;F17&amp;" Basis Point increase in ROE"</f>
        <v xml:space="preserve">   FCR with 0 Basis Point increase in ROE</v>
      </c>
      <c r="D66" s="539"/>
      <c r="E66" s="314"/>
      <c r="G66" s="708">
        <f>IF(G64=0,0,G65/G64)</f>
        <v>0.13752324282726261</v>
      </c>
      <c r="H66" s="969"/>
      <c r="I66" s="714"/>
      <c r="J66" s="427"/>
      <c r="K66" s="314"/>
      <c r="L66" s="314"/>
      <c r="M66" s="314"/>
      <c r="N66" s="314"/>
      <c r="O66" s="314"/>
      <c r="P66" s="427"/>
    </row>
    <row r="67" spans="2:17">
      <c r="B67" s="348"/>
      <c r="C67" s="209"/>
      <c r="D67" s="539"/>
      <c r="E67" s="314"/>
      <c r="G67" s="348"/>
      <c r="H67" s="959"/>
      <c r="I67" s="714"/>
      <c r="J67" s="427"/>
      <c r="K67" s="314"/>
      <c r="L67" s="314"/>
      <c r="M67" s="314"/>
      <c r="N67" s="314"/>
      <c r="O67" s="314"/>
      <c r="P67" s="427"/>
    </row>
    <row r="68" spans="2:17">
      <c r="B68" s="348"/>
      <c r="C68" s="726" t="str">
        <f>"   Annual Rev. Req, w / "&amp;F17&amp;" Basis Point ROE increase, less Dep."</f>
        <v xml:space="preserve">   Annual Rev. Req, w / 0 Basis Point ROE increase, less Dep.</v>
      </c>
      <c r="D68" s="539"/>
      <c r="E68" s="314"/>
      <c r="G68" s="710">
        <f>G60</f>
        <v>194760366.94340038</v>
      </c>
      <c r="H68" s="967"/>
      <c r="I68" s="714"/>
      <c r="J68" s="427"/>
      <c r="K68" s="314"/>
      <c r="L68" s="314"/>
      <c r="M68" s="314"/>
      <c r="N68" s="314"/>
      <c r="O68" s="314"/>
      <c r="P68" s="427"/>
    </row>
    <row r="69" spans="2:17">
      <c r="B69" s="348"/>
      <c r="C69" s="726" t="str">
        <f>"   FCR with "&amp;F17&amp;" Basis Point ROE increase, less Depreciation"</f>
        <v xml:space="preserve">   FCR with 0 Basis Point ROE increase, less Depreciation</v>
      </c>
      <c r="D69" s="539"/>
      <c r="E69" s="314"/>
      <c r="G69" s="708">
        <f>IF(G64=0,0,G68/G64)</f>
        <v>0.11129362813814259</v>
      </c>
      <c r="H69" s="969"/>
      <c r="I69" s="729"/>
      <c r="J69" s="427"/>
      <c r="K69" s="314"/>
      <c r="L69" s="314"/>
      <c r="M69" s="314"/>
      <c r="N69" s="314"/>
      <c r="O69" s="314"/>
      <c r="P69" s="427"/>
    </row>
    <row r="70" spans="2:17">
      <c r="B70" s="348"/>
      <c r="C70" s="661" t="str">
        <f>"   FCR less Depreciation  (TCOS, ln "&amp;TCOS!B31&amp;")"</f>
        <v xml:space="preserve">   FCR less Depreciation  (TCOS, ln 10)</v>
      </c>
      <c r="D70" s="539"/>
      <c r="E70" s="314"/>
      <c r="G70" s="730">
        <f>TCOS!L31</f>
        <v>0.11129362813814259</v>
      </c>
      <c r="H70" s="970"/>
      <c r="I70" s="729"/>
      <c r="J70" s="427"/>
      <c r="K70" s="314"/>
      <c r="L70" s="314"/>
      <c r="M70" s="314"/>
      <c r="N70" s="314"/>
      <c r="O70" s="314"/>
      <c r="P70" s="427"/>
    </row>
    <row r="71" spans="2:17">
      <c r="B71" s="348"/>
      <c r="C71" s="726" t="str">
        <f>"   Incremental FCR with "&amp;F17&amp;" Basis Point ROE increase, less Depreciation"</f>
        <v xml:space="preserve">   Incremental FCR with 0 Basis Point ROE increase, less Depreciation</v>
      </c>
      <c r="D71" s="539"/>
      <c r="E71" s="314"/>
      <c r="G71" s="708">
        <f>G69-G70</f>
        <v>0</v>
      </c>
      <c r="H71" s="969"/>
      <c r="I71" s="714"/>
      <c r="J71" s="427"/>
      <c r="K71" s="314"/>
      <c r="L71" s="314"/>
      <c r="M71" s="314"/>
      <c r="N71" s="314"/>
      <c r="O71" s="314"/>
      <c r="P71" s="427"/>
    </row>
    <row r="72" spans="2:17">
      <c r="B72" s="348"/>
      <c r="C72" s="726"/>
      <c r="D72" s="539"/>
      <c r="E72" s="314"/>
      <c r="F72" s="708"/>
      <c r="G72" s="314"/>
      <c r="H72" s="968"/>
      <c r="I72" s="314"/>
      <c r="J72" s="427"/>
      <c r="K72" s="314"/>
      <c r="L72" s="314"/>
      <c r="M72" s="314"/>
      <c r="N72" s="314"/>
      <c r="O72" s="314"/>
      <c r="P72" s="427"/>
    </row>
    <row r="73" spans="2:17" ht="18.75">
      <c r="B73" s="658" t="s">
        <v>465</v>
      </c>
      <c r="C73" s="657" t="s">
        <v>63</v>
      </c>
      <c r="D73" s="539"/>
      <c r="E73" s="314"/>
      <c r="F73" s="708"/>
      <c r="G73" s="314"/>
      <c r="H73" s="968"/>
      <c r="I73" s="314"/>
      <c r="J73" s="427"/>
      <c r="K73" s="314"/>
      <c r="L73" s="314"/>
      <c r="M73" s="314"/>
      <c r="N73" s="314"/>
      <c r="O73" s="314"/>
      <c r="P73" s="427"/>
    </row>
    <row r="74" spans="2:17">
      <c r="B74" s="348"/>
      <c r="C74" s="726"/>
      <c r="D74" s="539"/>
      <c r="E74" s="314"/>
      <c r="F74" s="708"/>
      <c r="G74" s="314"/>
      <c r="H74" s="968"/>
      <c r="I74" s="314"/>
      <c r="J74" s="427"/>
      <c r="K74" s="314"/>
      <c r="L74" s="314"/>
      <c r="M74" s="314"/>
      <c r="N74" s="314"/>
      <c r="O74" s="314"/>
      <c r="P74" s="427"/>
    </row>
    <row r="75" spans="2:17">
      <c r="B75" s="348"/>
      <c r="C75" s="726" t="str">
        <f>+"Average Transmission Plant Balance for "&amp;TCOS!L4&amp;" TCOS, ln "&amp;TCOS!B63</f>
        <v>Average Transmission Plant Balance for 2022 TCOS, ln 19</v>
      </c>
      <c r="D75" s="1250"/>
      <c r="E75" s="348"/>
      <c r="F75" s="348"/>
      <c r="G75" s="490">
        <f>TCOS!L63</f>
        <v>1894188507.5315385</v>
      </c>
      <c r="I75" s="314"/>
      <c r="J75" s="427"/>
      <c r="K75" s="731"/>
      <c r="L75" s="314"/>
      <c r="M75" s="314"/>
      <c r="N75" s="314"/>
      <c r="O75" s="314"/>
      <c r="P75" s="427"/>
    </row>
    <row r="76" spans="2:17">
      <c r="B76" s="348"/>
      <c r="C76" s="726" t="str">
        <f>"Annual Depreciation and Amortization Expense (TCOS, ln "&amp;TCOS!B154&amp;")"</f>
        <v>Annual Depreciation and Amortization Expense (TCOS, ln 83)</v>
      </c>
      <c r="D76" s="539"/>
      <c r="E76" s="314"/>
      <c r="G76" s="490">
        <f>TCOS!L154</f>
        <v>45901005</v>
      </c>
      <c r="H76" s="709"/>
      <c r="I76" s="314"/>
      <c r="J76" s="427"/>
      <c r="K76" s="314"/>
      <c r="L76" s="314"/>
      <c r="M76" s="314"/>
      <c r="N76" s="314"/>
      <c r="O76" s="314"/>
      <c r="P76" s="427"/>
    </row>
    <row r="77" spans="2:17" ht="12.75" customHeight="1">
      <c r="B77" s="348"/>
      <c r="C77" s="726" t="s">
        <v>64</v>
      </c>
      <c r="D77" s="539"/>
      <c r="E77" s="314"/>
      <c r="G77" s="904">
        <f>G76/G75</f>
        <v>2.423254328568232E-2</v>
      </c>
      <c r="H77" s="732"/>
      <c r="I77" s="1572"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572"/>
      <c r="K77" s="1572"/>
      <c r="L77" s="1572"/>
      <c r="M77" s="1572"/>
      <c r="N77" s="1572"/>
      <c r="O77" s="1572"/>
      <c r="P77" s="659"/>
      <c r="Q77" s="659"/>
    </row>
    <row r="78" spans="2:17">
      <c r="B78" s="348"/>
      <c r="C78" s="726" t="s">
        <v>65</v>
      </c>
      <c r="D78" s="539"/>
      <c r="E78" s="314"/>
      <c r="G78" s="733">
        <f>IF(G77=0,0,1/G77)</f>
        <v>41.26681992107882</v>
      </c>
      <c r="H78" s="709"/>
      <c r="I78" s="1572"/>
      <c r="J78" s="1572"/>
      <c r="K78" s="1572"/>
      <c r="L78" s="1572"/>
      <c r="M78" s="1572"/>
      <c r="N78" s="1572"/>
      <c r="O78" s="1572"/>
      <c r="P78" s="659"/>
      <c r="Q78" s="659"/>
    </row>
    <row r="79" spans="2:17">
      <c r="B79" s="348"/>
      <c r="C79" s="726" t="s">
        <v>590</v>
      </c>
      <c r="D79" s="539"/>
      <c r="E79" s="314"/>
      <c r="G79" s="734">
        <f>ROUND(G78,0)</f>
        <v>41</v>
      </c>
      <c r="H79" s="709"/>
      <c r="I79" s="1572"/>
      <c r="J79" s="1572"/>
      <c r="K79" s="1572"/>
      <c r="L79" s="1572"/>
      <c r="M79" s="1572"/>
      <c r="N79" s="1572"/>
      <c r="O79" s="1572"/>
      <c r="P79" s="659"/>
      <c r="Q79" s="659"/>
    </row>
    <row r="80" spans="2:17">
      <c r="B80" s="348"/>
      <c r="C80" s="726"/>
      <c r="D80" s="539"/>
      <c r="E80" s="314"/>
      <c r="G80" s="735"/>
      <c r="H80" s="709"/>
      <c r="I80" s="1572"/>
      <c r="J80" s="1572"/>
      <c r="K80" s="1572"/>
      <c r="L80" s="1572"/>
      <c r="M80" s="1572"/>
      <c r="N80" s="1572"/>
      <c r="O80" s="1572"/>
    </row>
    <row r="81" spans="1:16">
      <c r="C81" s="736"/>
      <c r="D81" s="737"/>
      <c r="E81" s="737"/>
      <c r="F81" s="737"/>
      <c r="G81" s="731"/>
      <c r="H81" s="731"/>
    </row>
    <row r="82" spans="1:16" ht="20.25">
      <c r="A82" s="738" t="str">
        <f>""&amp;A6&amp;" Worksheet J -  ATRR PROJECTED Calculation for PJM Projects Charged to Benefiting Zones"</f>
        <v>West Virginia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COUNT(P$8:P$56653)</f>
        <v>12</v>
      </c>
      <c r="P82" s="739">
        <v>1</v>
      </c>
    </row>
    <row r="83" spans="1:16">
      <c r="B83" s="348"/>
      <c r="C83" s="314"/>
      <c r="D83" s="539"/>
      <c r="E83" s="314"/>
      <c r="F83" s="314"/>
      <c r="G83" s="314"/>
      <c r="H83" s="709"/>
      <c r="I83" s="314"/>
      <c r="J83" s="427"/>
      <c r="K83" s="314"/>
      <c r="L83" s="314"/>
      <c r="M83" s="314"/>
      <c r="N83" s="314"/>
      <c r="O83" s="314"/>
      <c r="P83" s="427"/>
    </row>
    <row r="84" spans="1:16" ht="18">
      <c r="B84" s="658" t="s">
        <v>466</v>
      </c>
      <c r="C84" s="740" t="s">
        <v>85</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86</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87</v>
      </c>
      <c r="D88" s="539"/>
      <c r="E88" s="314"/>
      <c r="F88" s="314"/>
      <c r="G88" s="807"/>
      <c r="H88" s="314" t="s">
        <v>66</v>
      </c>
      <c r="I88" s="314"/>
      <c r="J88" s="427"/>
      <c r="K88" s="741" t="s">
        <v>91</v>
      </c>
      <c r="L88" s="742"/>
      <c r="M88" s="743"/>
      <c r="N88" s="744">
        <f>IF(I94=0,0,VLOOKUP(I94,C101:O160,5))</f>
        <v>252243.76635523638</v>
      </c>
      <c r="O88" s="314"/>
    </row>
    <row r="89" spans="1:16" ht="15.75">
      <c r="C89" s="660"/>
      <c r="D89" s="539"/>
      <c r="E89" s="314"/>
      <c r="F89" s="314"/>
      <c r="G89" s="314"/>
      <c r="H89" s="745"/>
      <c r="I89" s="745"/>
      <c r="J89" s="746"/>
      <c r="K89" s="747" t="s">
        <v>92</v>
      </c>
      <c r="L89" s="748"/>
      <c r="M89" s="427"/>
      <c r="N89" s="749">
        <f>IF(I94=0,0,VLOOKUP(I94,C101:O160,6))</f>
        <v>252243.76635523638</v>
      </c>
      <c r="O89" s="314"/>
    </row>
    <row r="90" spans="1:16" ht="13.5" thickBot="1">
      <c r="C90" s="750" t="s">
        <v>88</v>
      </c>
      <c r="D90" s="1567" t="s">
        <v>810</v>
      </c>
      <c r="E90" s="1567"/>
      <c r="F90" s="1567"/>
      <c r="G90" s="1567"/>
      <c r="H90" s="1567"/>
      <c r="I90" s="1567"/>
      <c r="J90" s="731"/>
      <c r="K90" s="751" t="s">
        <v>230</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89</v>
      </c>
      <c r="D93" s="761"/>
      <c r="E93" s="761"/>
      <c r="F93" s="761"/>
      <c r="G93" s="761"/>
      <c r="H93" s="761"/>
      <c r="I93" s="762"/>
      <c r="J93" s="763"/>
      <c r="K93" s="314"/>
      <c r="L93" s="314"/>
      <c r="M93" s="314"/>
      <c r="N93" s="314"/>
      <c r="O93" s="764"/>
    </row>
    <row r="94" spans="1:16" ht="15">
      <c r="C94" s="765" t="s">
        <v>67</v>
      </c>
      <c r="D94" s="809">
        <v>2191536</v>
      </c>
      <c r="E94" s="726" t="s">
        <v>68</v>
      </c>
      <c r="G94" s="766"/>
      <c r="H94" s="766"/>
      <c r="I94" s="767">
        <f>$L$26</f>
        <v>2022</v>
      </c>
      <c r="J94" s="555"/>
      <c r="K94" s="1569" t="s">
        <v>239</v>
      </c>
      <c r="L94" s="1569"/>
      <c r="M94" s="1569"/>
      <c r="N94" s="1569"/>
      <c r="O94" s="1569"/>
    </row>
    <row r="95" spans="1:16">
      <c r="C95" s="765" t="s">
        <v>70</v>
      </c>
      <c r="D95" s="810">
        <v>2014</v>
      </c>
      <c r="E95" s="765" t="s">
        <v>71</v>
      </c>
      <c r="F95" s="766"/>
      <c r="H95" s="173"/>
      <c r="I95" s="811">
        <f>IF(G88="",0,$F$17)</f>
        <v>0</v>
      </c>
      <c r="J95" s="768"/>
      <c r="K95" s="731" t="s">
        <v>239</v>
      </c>
    </row>
    <row r="96" spans="1:16">
      <c r="C96" s="765" t="s">
        <v>72</v>
      </c>
      <c r="D96" s="809">
        <v>11</v>
      </c>
      <c r="E96" s="765" t="s">
        <v>73</v>
      </c>
      <c r="F96" s="766"/>
      <c r="H96" s="173"/>
      <c r="I96" s="769">
        <f>$G$70</f>
        <v>0.11129362813814259</v>
      </c>
      <c r="J96" s="770"/>
      <c r="K96" s="173" t="str">
        <f>"          INPUT PROJECTED ARR (WITH &amp; WITHOUT INCENTIVES) FROM EACH PRIOR YEAR"</f>
        <v xml:space="preserve">          INPUT PROJECTED ARR (WITH &amp; WITHOUT INCENTIVES) FROM EACH PRIOR YEAR</v>
      </c>
    </row>
    <row r="97" spans="2:15">
      <c r="C97" s="765" t="s">
        <v>74</v>
      </c>
      <c r="D97" s="771">
        <f>$G$79</f>
        <v>41</v>
      </c>
      <c r="E97" s="765" t="s">
        <v>75</v>
      </c>
      <c r="F97" s="766"/>
      <c r="H97" s="173"/>
      <c r="I97" s="769">
        <f>IF(G88="",I96,$G$69)</f>
        <v>0.11129362813814259</v>
      </c>
      <c r="J97" s="772"/>
      <c r="K97" s="173" t="s">
        <v>152</v>
      </c>
    </row>
    <row r="98" spans="2:15" ht="13.5" thickBot="1">
      <c r="C98" s="765" t="s">
        <v>76</v>
      </c>
      <c r="D98" s="808" t="s">
        <v>811</v>
      </c>
      <c r="E98" s="773" t="s">
        <v>77</v>
      </c>
      <c r="F98" s="774"/>
      <c r="G98" s="775"/>
      <c r="H98" s="775"/>
      <c r="I98" s="753">
        <f>IF(D94=0,0,D94/D97)</f>
        <v>53452.097560975613</v>
      </c>
      <c r="J98" s="731"/>
      <c r="K98" s="731" t="s">
        <v>158</v>
      </c>
      <c r="L98" s="731"/>
      <c r="M98" s="731"/>
      <c r="N98" s="731"/>
      <c r="O98" s="427"/>
    </row>
    <row r="99" spans="2:15" ht="38.25">
      <c r="B99" s="846"/>
      <c r="C99" s="776" t="s">
        <v>67</v>
      </c>
      <c r="D99" s="777" t="s">
        <v>78</v>
      </c>
      <c r="E99" s="778" t="s">
        <v>79</v>
      </c>
      <c r="F99" s="777" t="s">
        <v>80</v>
      </c>
      <c r="G99" s="778" t="s">
        <v>151</v>
      </c>
      <c r="H99" s="779" t="s">
        <v>151</v>
      </c>
      <c r="I99" s="776" t="s">
        <v>90</v>
      </c>
      <c r="J99" s="780"/>
      <c r="K99" s="778" t="s">
        <v>160</v>
      </c>
      <c r="L99" s="781"/>
      <c r="M99" s="778" t="s">
        <v>160</v>
      </c>
      <c r="N99" s="781"/>
      <c r="O99" s="781"/>
    </row>
    <row r="100" spans="2:15" ht="13.5" thickBot="1">
      <c r="C100" s="782" t="s">
        <v>469</v>
      </c>
      <c r="D100" s="783" t="s">
        <v>470</v>
      </c>
      <c r="E100" s="782" t="s">
        <v>363</v>
      </c>
      <c r="F100" s="783" t="s">
        <v>470</v>
      </c>
      <c r="G100" s="784" t="s">
        <v>93</v>
      </c>
      <c r="H100" s="785" t="s">
        <v>95</v>
      </c>
      <c r="I100" s="786" t="s">
        <v>15</v>
      </c>
      <c r="J100" s="787"/>
      <c r="K100" s="784" t="s">
        <v>82</v>
      </c>
      <c r="L100" s="788"/>
      <c r="M100" s="784" t="s">
        <v>95</v>
      </c>
      <c r="N100" s="788"/>
      <c r="O100" s="788"/>
    </row>
    <row r="101" spans="2:15">
      <c r="C101" s="789">
        <f>IF(D95= "","-",D95)</f>
        <v>2014</v>
      </c>
      <c r="D101" s="737">
        <f>+D94</f>
        <v>2191536</v>
      </c>
      <c r="E101" s="790">
        <f>+I98/12*(12-D96)</f>
        <v>4454.3414634146347</v>
      </c>
      <c r="F101" s="737">
        <f>+D101-E101</f>
        <v>2187081.6585365855</v>
      </c>
      <c r="G101" s="1001">
        <f>+$I$96*((D101+F101)/2)+E101</f>
        <v>248110.46418755228</v>
      </c>
      <c r="H101" s="1002">
        <f>$I$97*((D101+F101)/2)+E101</f>
        <v>248110.46418755228</v>
      </c>
      <c r="I101" s="793">
        <f>+H101-G101</f>
        <v>0</v>
      </c>
      <c r="J101" s="793"/>
      <c r="K101" s="812">
        <v>541349</v>
      </c>
      <c r="L101" s="794"/>
      <c r="M101" s="812">
        <v>541349</v>
      </c>
      <c r="N101" s="794"/>
      <c r="O101" s="794"/>
    </row>
    <row r="102" spans="2:15">
      <c r="C102" s="789">
        <f>IF(D95="","-",+C101+1)</f>
        <v>2015</v>
      </c>
      <c r="D102" s="737">
        <f t="shared" ref="D102:D160" si="0">F101</f>
        <v>2187081.6585365855</v>
      </c>
      <c r="E102" s="790">
        <f>IF(D102&gt;$I$98,$I$98,D102)</f>
        <v>53452.097560975613</v>
      </c>
      <c r="F102" s="737">
        <f t="shared" ref="F102:F160" si="1">+D102-E102</f>
        <v>2133629.5609756098</v>
      </c>
      <c r="G102" s="795">
        <f t="shared" ref="G102:G160" si="2">+$I$96*((D102+F102)/2)+E102</f>
        <v>293885.911439321</v>
      </c>
      <c r="H102" s="796">
        <f t="shared" ref="H102:H160" si="3">$I$97*((D102+F102)/2)+E102</f>
        <v>293885.911439321</v>
      </c>
      <c r="I102" s="793">
        <f t="shared" ref="I102:I160" si="4">+H102-G102</f>
        <v>0</v>
      </c>
      <c r="J102" s="793"/>
      <c r="K102" s="813">
        <v>511336</v>
      </c>
      <c r="L102" s="797"/>
      <c r="M102" s="813">
        <v>511336</v>
      </c>
      <c r="N102" s="797"/>
      <c r="O102" s="797"/>
    </row>
    <row r="103" spans="2:15">
      <c r="C103" s="789">
        <f>IF(D95="","-",+C102+1)</f>
        <v>2016</v>
      </c>
      <c r="D103" s="737">
        <f t="shared" si="0"/>
        <v>2133629.5609756098</v>
      </c>
      <c r="E103" s="790">
        <f t="shared" ref="E103:E160" si="5">IF(D103&gt;$I$98,$I$98,D103)</f>
        <v>53452.097560975613</v>
      </c>
      <c r="F103" s="737">
        <f t="shared" si="1"/>
        <v>2080177.4634146341</v>
      </c>
      <c r="G103" s="795">
        <f t="shared" si="2"/>
        <v>287937.0335701661</v>
      </c>
      <c r="H103" s="796">
        <f t="shared" si="3"/>
        <v>287937.0335701661</v>
      </c>
      <c r="I103" s="793">
        <f t="shared" si="4"/>
        <v>0</v>
      </c>
      <c r="J103" s="793"/>
      <c r="K103" s="813">
        <v>498629</v>
      </c>
      <c r="L103" s="797"/>
      <c r="M103" s="813">
        <v>498629</v>
      </c>
      <c r="N103" s="797"/>
      <c r="O103" s="797"/>
    </row>
    <row r="104" spans="2:15">
      <c r="C104" s="789">
        <f>IF(D95="","-",+C103+1)</f>
        <v>2017</v>
      </c>
      <c r="D104" s="737">
        <f t="shared" si="0"/>
        <v>2080177.4634146341</v>
      </c>
      <c r="E104" s="790">
        <f t="shared" si="5"/>
        <v>53452.097560975613</v>
      </c>
      <c r="F104" s="737">
        <f t="shared" si="1"/>
        <v>2026725.3658536584</v>
      </c>
      <c r="G104" s="795">
        <f t="shared" si="2"/>
        <v>281988.15570101113</v>
      </c>
      <c r="H104" s="796">
        <f t="shared" si="3"/>
        <v>281988.15570101113</v>
      </c>
      <c r="I104" s="793">
        <f t="shared" si="4"/>
        <v>0</v>
      </c>
      <c r="J104" s="793"/>
      <c r="K104" s="813">
        <v>544400</v>
      </c>
      <c r="L104" s="797"/>
      <c r="M104" s="813">
        <v>544400</v>
      </c>
      <c r="N104" s="797"/>
      <c r="O104" s="797"/>
    </row>
    <row r="105" spans="2:15">
      <c r="C105" s="1311">
        <f>IF(D95="","-",+C104+1)</f>
        <v>2018</v>
      </c>
      <c r="D105" s="737">
        <f t="shared" si="0"/>
        <v>2026725.3658536584</v>
      </c>
      <c r="E105" s="790">
        <f t="shared" si="5"/>
        <v>53452.097560975613</v>
      </c>
      <c r="F105" s="737">
        <f t="shared" si="1"/>
        <v>1973273.2682926827</v>
      </c>
      <c r="G105" s="795">
        <f t="shared" si="2"/>
        <v>276039.27783185616</v>
      </c>
      <c r="H105" s="796">
        <f t="shared" si="3"/>
        <v>276039.27783185616</v>
      </c>
      <c r="I105" s="793">
        <f t="shared" si="4"/>
        <v>0</v>
      </c>
      <c r="J105" s="793"/>
      <c r="K105" s="813">
        <v>473613</v>
      </c>
      <c r="L105" s="797"/>
      <c r="M105" s="813">
        <f>K105</f>
        <v>473613</v>
      </c>
      <c r="N105" s="797"/>
      <c r="O105" s="797"/>
    </row>
    <row r="106" spans="2:15">
      <c r="C106" s="1307">
        <f>IF(D95="","-",+C105+1)</f>
        <v>2019</v>
      </c>
      <c r="D106" s="737">
        <f t="shared" si="0"/>
        <v>1973273.2682926827</v>
      </c>
      <c r="E106" s="790">
        <f t="shared" si="5"/>
        <v>53452.097560975613</v>
      </c>
      <c r="F106" s="737">
        <f t="shared" si="1"/>
        <v>1919821.170731707</v>
      </c>
      <c r="G106" s="795">
        <f t="shared" si="2"/>
        <v>270090.39996270125</v>
      </c>
      <c r="H106" s="796">
        <f t="shared" si="3"/>
        <v>270090.39996270125</v>
      </c>
      <c r="I106" s="793">
        <f t="shared" si="4"/>
        <v>0</v>
      </c>
      <c r="J106" s="793"/>
      <c r="K106" s="813"/>
      <c r="L106" s="797"/>
      <c r="M106" s="813"/>
      <c r="N106" s="797"/>
      <c r="O106" s="797"/>
    </row>
    <row r="107" spans="2:15">
      <c r="C107" s="789">
        <f>IF(D95="","-",+C106+1)</f>
        <v>2020</v>
      </c>
      <c r="D107" s="737">
        <f t="shared" si="0"/>
        <v>1919821.170731707</v>
      </c>
      <c r="E107" s="790">
        <f t="shared" si="5"/>
        <v>53452.097560975613</v>
      </c>
      <c r="F107" s="737">
        <f t="shared" si="1"/>
        <v>1866369.0731707313</v>
      </c>
      <c r="G107" s="795">
        <f t="shared" si="2"/>
        <v>264141.52209354629</v>
      </c>
      <c r="H107" s="796">
        <f t="shared" si="3"/>
        <v>264141.52209354629</v>
      </c>
      <c r="I107" s="793">
        <f t="shared" si="4"/>
        <v>0</v>
      </c>
      <c r="J107" s="793"/>
      <c r="K107" s="813"/>
      <c r="L107" s="797"/>
      <c r="M107" s="813"/>
      <c r="N107" s="797"/>
      <c r="O107" s="797"/>
    </row>
    <row r="108" spans="2:15">
      <c r="C108" s="789">
        <f>IF(D95="","-",+C107+1)</f>
        <v>2021</v>
      </c>
      <c r="D108" s="737">
        <f t="shared" si="0"/>
        <v>1866369.0731707313</v>
      </c>
      <c r="E108" s="790">
        <f t="shared" si="5"/>
        <v>53452.097560975613</v>
      </c>
      <c r="F108" s="737">
        <f t="shared" si="1"/>
        <v>1812916.9756097556</v>
      </c>
      <c r="G108" s="795">
        <f t="shared" si="2"/>
        <v>258192.64422439135</v>
      </c>
      <c r="H108" s="796">
        <f t="shared" si="3"/>
        <v>258192.64422439135</v>
      </c>
      <c r="I108" s="793">
        <f t="shared" si="4"/>
        <v>0</v>
      </c>
      <c r="J108" s="793"/>
      <c r="K108" s="813"/>
      <c r="L108" s="797"/>
      <c r="M108" s="813"/>
      <c r="N108" s="797"/>
      <c r="O108" s="797"/>
    </row>
    <row r="109" spans="2:15">
      <c r="C109" s="789">
        <f>IF(D95="","-",+C108+1)</f>
        <v>2022</v>
      </c>
      <c r="D109" s="737">
        <f t="shared" si="0"/>
        <v>1812916.9756097556</v>
      </c>
      <c r="E109" s="790">
        <f t="shared" si="5"/>
        <v>53452.097560975613</v>
      </c>
      <c r="F109" s="737">
        <f t="shared" si="1"/>
        <v>1759464.8780487799</v>
      </c>
      <c r="G109" s="795">
        <f t="shared" si="2"/>
        <v>252243.76635523638</v>
      </c>
      <c r="H109" s="796">
        <f t="shared" si="3"/>
        <v>252243.76635523638</v>
      </c>
      <c r="I109" s="793">
        <f t="shared" si="4"/>
        <v>0</v>
      </c>
      <c r="J109" s="793"/>
      <c r="K109" s="813"/>
      <c r="L109" s="797"/>
      <c r="M109" s="813"/>
      <c r="N109" s="797"/>
      <c r="O109" s="797"/>
    </row>
    <row r="110" spans="2:15">
      <c r="C110" s="789">
        <f>IF(D95="","-",+C109+1)</f>
        <v>2023</v>
      </c>
      <c r="D110" s="737">
        <f t="shared" si="0"/>
        <v>1759464.8780487799</v>
      </c>
      <c r="E110" s="790">
        <f t="shared" si="5"/>
        <v>53452.097560975613</v>
      </c>
      <c r="F110" s="737">
        <f t="shared" si="1"/>
        <v>1706012.7804878042</v>
      </c>
      <c r="G110" s="795">
        <f t="shared" si="2"/>
        <v>246294.88848608144</v>
      </c>
      <c r="H110" s="796">
        <f t="shared" si="3"/>
        <v>246294.88848608144</v>
      </c>
      <c r="I110" s="793">
        <f t="shared" si="4"/>
        <v>0</v>
      </c>
      <c r="J110" s="793"/>
      <c r="K110" s="813"/>
      <c r="L110" s="797"/>
      <c r="M110" s="813"/>
      <c r="N110" s="797"/>
      <c r="O110" s="797"/>
    </row>
    <row r="111" spans="2:15">
      <c r="C111" s="789">
        <f>IF(D95="","-",+C110+1)</f>
        <v>2024</v>
      </c>
      <c r="D111" s="737">
        <f t="shared" si="0"/>
        <v>1706012.7804878042</v>
      </c>
      <c r="E111" s="790">
        <f t="shared" si="5"/>
        <v>53452.097560975613</v>
      </c>
      <c r="F111" s="737">
        <f t="shared" si="1"/>
        <v>1652560.6829268285</v>
      </c>
      <c r="G111" s="795">
        <f t="shared" si="2"/>
        <v>240346.01061692651</v>
      </c>
      <c r="H111" s="796">
        <f t="shared" si="3"/>
        <v>240346.01061692651</v>
      </c>
      <c r="I111" s="793">
        <f t="shared" si="4"/>
        <v>0</v>
      </c>
      <c r="J111" s="793"/>
      <c r="K111" s="813"/>
      <c r="L111" s="797"/>
      <c r="M111" s="813"/>
      <c r="N111" s="797"/>
      <c r="O111" s="797"/>
    </row>
    <row r="112" spans="2:15">
      <c r="C112" s="789">
        <f>IF(D95="","-",+C111+1)</f>
        <v>2025</v>
      </c>
      <c r="D112" s="737">
        <f t="shared" si="0"/>
        <v>1652560.6829268285</v>
      </c>
      <c r="E112" s="790">
        <f t="shared" si="5"/>
        <v>53452.097560975613</v>
      </c>
      <c r="F112" s="737">
        <f t="shared" si="1"/>
        <v>1599108.5853658528</v>
      </c>
      <c r="G112" s="795">
        <f t="shared" si="2"/>
        <v>234397.13274777154</v>
      </c>
      <c r="H112" s="796">
        <f t="shared" si="3"/>
        <v>234397.13274777154</v>
      </c>
      <c r="I112" s="793">
        <f t="shared" si="4"/>
        <v>0</v>
      </c>
      <c r="J112" s="793"/>
      <c r="K112" s="813"/>
      <c r="L112" s="797"/>
      <c r="M112" s="813"/>
      <c r="N112" s="797"/>
      <c r="O112" s="797"/>
    </row>
    <row r="113" spans="3:15">
      <c r="C113" s="789">
        <f>IF(D95="","-",+C112+1)</f>
        <v>2026</v>
      </c>
      <c r="D113" s="737">
        <f t="shared" si="0"/>
        <v>1599108.5853658528</v>
      </c>
      <c r="E113" s="790">
        <f t="shared" si="5"/>
        <v>53452.097560975613</v>
      </c>
      <c r="F113" s="737">
        <f t="shared" si="1"/>
        <v>1545656.4878048771</v>
      </c>
      <c r="G113" s="795">
        <f t="shared" si="2"/>
        <v>228448.2548786166</v>
      </c>
      <c r="H113" s="796">
        <f t="shared" si="3"/>
        <v>228448.2548786166</v>
      </c>
      <c r="I113" s="793">
        <f t="shared" si="4"/>
        <v>0</v>
      </c>
      <c r="J113" s="793"/>
      <c r="K113" s="813"/>
      <c r="L113" s="797"/>
      <c r="M113" s="813"/>
      <c r="N113" s="798"/>
      <c r="O113" s="797"/>
    </row>
    <row r="114" spans="3:15">
      <c r="C114" s="789">
        <f>IF(D95="","-",+C113+1)</f>
        <v>2027</v>
      </c>
      <c r="D114" s="737">
        <f t="shared" si="0"/>
        <v>1545656.4878048771</v>
      </c>
      <c r="E114" s="790">
        <f t="shared" si="5"/>
        <v>53452.097560975613</v>
      </c>
      <c r="F114" s="737">
        <f t="shared" si="1"/>
        <v>1492204.3902439014</v>
      </c>
      <c r="G114" s="795">
        <f t="shared" si="2"/>
        <v>222499.37700946166</v>
      </c>
      <c r="H114" s="796">
        <f t="shared" si="3"/>
        <v>222499.37700946166</v>
      </c>
      <c r="I114" s="793">
        <f t="shared" si="4"/>
        <v>0</v>
      </c>
      <c r="J114" s="793"/>
      <c r="K114" s="813"/>
      <c r="L114" s="797"/>
      <c r="M114" s="813"/>
      <c r="N114" s="797"/>
      <c r="O114" s="797"/>
    </row>
    <row r="115" spans="3:15">
      <c r="C115" s="789">
        <f>IF(D95="","-",+C114+1)</f>
        <v>2028</v>
      </c>
      <c r="D115" s="737">
        <f t="shared" si="0"/>
        <v>1492204.3902439014</v>
      </c>
      <c r="E115" s="790">
        <f t="shared" si="5"/>
        <v>53452.097560975613</v>
      </c>
      <c r="F115" s="737">
        <f t="shared" si="1"/>
        <v>1438752.2926829257</v>
      </c>
      <c r="G115" s="795">
        <f t="shared" si="2"/>
        <v>216550.4991403067</v>
      </c>
      <c r="H115" s="796">
        <f t="shared" si="3"/>
        <v>216550.4991403067</v>
      </c>
      <c r="I115" s="793">
        <f t="shared" si="4"/>
        <v>0</v>
      </c>
      <c r="J115" s="793"/>
      <c r="K115" s="813"/>
      <c r="L115" s="797"/>
      <c r="M115" s="813"/>
      <c r="N115" s="797"/>
      <c r="O115" s="797"/>
    </row>
    <row r="116" spans="3:15">
      <c r="C116" s="789">
        <f>IF(D95="","-",+C115+1)</f>
        <v>2029</v>
      </c>
      <c r="D116" s="737">
        <f t="shared" si="0"/>
        <v>1438752.2926829257</v>
      </c>
      <c r="E116" s="790">
        <f t="shared" si="5"/>
        <v>53452.097560975613</v>
      </c>
      <c r="F116" s="737">
        <f t="shared" si="1"/>
        <v>1385300.19512195</v>
      </c>
      <c r="G116" s="795">
        <f t="shared" si="2"/>
        <v>210601.62127115176</v>
      </c>
      <c r="H116" s="796">
        <f t="shared" si="3"/>
        <v>210601.62127115176</v>
      </c>
      <c r="I116" s="793">
        <f t="shared" si="4"/>
        <v>0</v>
      </c>
      <c r="J116" s="793"/>
      <c r="K116" s="813"/>
      <c r="L116" s="797"/>
      <c r="M116" s="813"/>
      <c r="N116" s="797"/>
      <c r="O116" s="797"/>
    </row>
    <row r="117" spans="3:15">
      <c r="C117" s="789">
        <f>IF(D95="","-",+C116+1)</f>
        <v>2030</v>
      </c>
      <c r="D117" s="737">
        <f t="shared" si="0"/>
        <v>1385300.19512195</v>
      </c>
      <c r="E117" s="790">
        <f t="shared" si="5"/>
        <v>53452.097560975613</v>
      </c>
      <c r="F117" s="737">
        <f t="shared" si="1"/>
        <v>1331848.0975609743</v>
      </c>
      <c r="G117" s="795">
        <f t="shared" si="2"/>
        <v>204652.74340199682</v>
      </c>
      <c r="H117" s="796">
        <f t="shared" si="3"/>
        <v>204652.74340199682</v>
      </c>
      <c r="I117" s="793">
        <f t="shared" si="4"/>
        <v>0</v>
      </c>
      <c r="J117" s="793"/>
      <c r="K117" s="813"/>
      <c r="L117" s="797"/>
      <c r="M117" s="813"/>
      <c r="N117" s="797"/>
      <c r="O117" s="797"/>
    </row>
    <row r="118" spans="3:15">
      <c r="C118" s="789">
        <f>IF(D95="","-",+C117+1)</f>
        <v>2031</v>
      </c>
      <c r="D118" s="737">
        <f t="shared" si="0"/>
        <v>1331848.0975609743</v>
      </c>
      <c r="E118" s="790">
        <f t="shared" si="5"/>
        <v>53452.097560975613</v>
      </c>
      <c r="F118" s="737">
        <f t="shared" si="1"/>
        <v>1278395.9999999986</v>
      </c>
      <c r="G118" s="795">
        <f t="shared" si="2"/>
        <v>198703.86553284185</v>
      </c>
      <c r="H118" s="796">
        <f t="shared" si="3"/>
        <v>198703.86553284185</v>
      </c>
      <c r="I118" s="793">
        <f t="shared" si="4"/>
        <v>0</v>
      </c>
      <c r="J118" s="793"/>
      <c r="K118" s="813"/>
      <c r="L118" s="797"/>
      <c r="M118" s="813"/>
      <c r="N118" s="797"/>
      <c r="O118" s="797"/>
    </row>
    <row r="119" spans="3:15">
      <c r="C119" s="789">
        <f>IF(D95="","-",+C118+1)</f>
        <v>2032</v>
      </c>
      <c r="D119" s="737">
        <f t="shared" si="0"/>
        <v>1278395.9999999986</v>
      </c>
      <c r="E119" s="790">
        <f t="shared" si="5"/>
        <v>53452.097560975613</v>
      </c>
      <c r="F119" s="737">
        <f t="shared" si="1"/>
        <v>1224943.9024390229</v>
      </c>
      <c r="G119" s="795">
        <f t="shared" si="2"/>
        <v>192754.98766368692</v>
      </c>
      <c r="H119" s="796">
        <f t="shared" si="3"/>
        <v>192754.98766368692</v>
      </c>
      <c r="I119" s="793">
        <f t="shared" si="4"/>
        <v>0</v>
      </c>
      <c r="J119" s="793"/>
      <c r="K119" s="813"/>
      <c r="L119" s="797"/>
      <c r="M119" s="813"/>
      <c r="N119" s="797"/>
      <c r="O119" s="797"/>
    </row>
    <row r="120" spans="3:15">
      <c r="C120" s="789">
        <f>IF(D95="","-",+C119+1)</f>
        <v>2033</v>
      </c>
      <c r="D120" s="737">
        <f t="shared" si="0"/>
        <v>1224943.9024390229</v>
      </c>
      <c r="E120" s="790">
        <f t="shared" si="5"/>
        <v>53452.097560975613</v>
      </c>
      <c r="F120" s="737">
        <f t="shared" si="1"/>
        <v>1171491.8048780472</v>
      </c>
      <c r="G120" s="795">
        <f t="shared" si="2"/>
        <v>186806.10979453198</v>
      </c>
      <c r="H120" s="796">
        <f t="shared" si="3"/>
        <v>186806.10979453198</v>
      </c>
      <c r="I120" s="793">
        <f t="shared" si="4"/>
        <v>0</v>
      </c>
      <c r="J120" s="793"/>
      <c r="K120" s="813"/>
      <c r="L120" s="797"/>
      <c r="M120" s="813"/>
      <c r="N120" s="797"/>
      <c r="O120" s="797"/>
    </row>
    <row r="121" spans="3:15">
      <c r="C121" s="789">
        <f>IF(D95="","-",+C120+1)</f>
        <v>2034</v>
      </c>
      <c r="D121" s="737">
        <f t="shared" si="0"/>
        <v>1171491.8048780472</v>
      </c>
      <c r="E121" s="790">
        <f t="shared" si="5"/>
        <v>53452.097560975613</v>
      </c>
      <c r="F121" s="737">
        <f t="shared" si="1"/>
        <v>1118039.7073170715</v>
      </c>
      <c r="G121" s="795">
        <f t="shared" si="2"/>
        <v>180857.23192537701</v>
      </c>
      <c r="H121" s="796">
        <f t="shared" si="3"/>
        <v>180857.23192537701</v>
      </c>
      <c r="I121" s="793">
        <f t="shared" si="4"/>
        <v>0</v>
      </c>
      <c r="J121" s="793"/>
      <c r="K121" s="813"/>
      <c r="L121" s="797"/>
      <c r="M121" s="813"/>
      <c r="N121" s="797"/>
      <c r="O121" s="797"/>
    </row>
    <row r="122" spans="3:15">
      <c r="C122" s="789">
        <f>IF(D95="","-",+C121+1)</f>
        <v>2035</v>
      </c>
      <c r="D122" s="737">
        <f t="shared" si="0"/>
        <v>1118039.7073170715</v>
      </c>
      <c r="E122" s="790">
        <f t="shared" si="5"/>
        <v>53452.097560975613</v>
      </c>
      <c r="F122" s="737">
        <f t="shared" si="1"/>
        <v>1064587.6097560958</v>
      </c>
      <c r="G122" s="795">
        <f t="shared" si="2"/>
        <v>174908.35405622207</v>
      </c>
      <c r="H122" s="796">
        <f t="shared" si="3"/>
        <v>174908.35405622207</v>
      </c>
      <c r="I122" s="793">
        <f t="shared" si="4"/>
        <v>0</v>
      </c>
      <c r="J122" s="793"/>
      <c r="K122" s="813"/>
      <c r="L122" s="797"/>
      <c r="M122" s="813"/>
      <c r="N122" s="797"/>
      <c r="O122" s="797"/>
    </row>
    <row r="123" spans="3:15">
      <c r="C123" s="789">
        <f>IF(D95="","-",+C122+1)</f>
        <v>2036</v>
      </c>
      <c r="D123" s="737">
        <f t="shared" si="0"/>
        <v>1064587.6097560958</v>
      </c>
      <c r="E123" s="790">
        <f t="shared" si="5"/>
        <v>53452.097560975613</v>
      </c>
      <c r="F123" s="737">
        <f t="shared" si="1"/>
        <v>1011135.5121951202</v>
      </c>
      <c r="G123" s="795">
        <f t="shared" si="2"/>
        <v>168959.47618706711</v>
      </c>
      <c r="H123" s="796">
        <f t="shared" si="3"/>
        <v>168959.47618706711</v>
      </c>
      <c r="I123" s="793">
        <f t="shared" si="4"/>
        <v>0</v>
      </c>
      <c r="J123" s="793"/>
      <c r="K123" s="813"/>
      <c r="L123" s="797"/>
      <c r="M123" s="813"/>
      <c r="N123" s="797"/>
      <c r="O123" s="797"/>
    </row>
    <row r="124" spans="3:15">
      <c r="C124" s="789">
        <f>IF(D95="","-",+C123+1)</f>
        <v>2037</v>
      </c>
      <c r="D124" s="737">
        <f t="shared" si="0"/>
        <v>1011135.5121951202</v>
      </c>
      <c r="E124" s="790">
        <f t="shared" si="5"/>
        <v>53452.097560975613</v>
      </c>
      <c r="F124" s="737">
        <f t="shared" si="1"/>
        <v>957683.41463414463</v>
      </c>
      <c r="G124" s="795">
        <f t="shared" si="2"/>
        <v>163010.5983179122</v>
      </c>
      <c r="H124" s="796">
        <f t="shared" si="3"/>
        <v>163010.5983179122</v>
      </c>
      <c r="I124" s="793">
        <f t="shared" si="4"/>
        <v>0</v>
      </c>
      <c r="J124" s="793"/>
      <c r="K124" s="813"/>
      <c r="L124" s="797"/>
      <c r="M124" s="813"/>
      <c r="N124" s="797"/>
      <c r="O124" s="797"/>
    </row>
    <row r="125" spans="3:15">
      <c r="C125" s="789">
        <f>IF(D95="","-",+C124+1)</f>
        <v>2038</v>
      </c>
      <c r="D125" s="737">
        <f t="shared" si="0"/>
        <v>957683.41463414463</v>
      </c>
      <c r="E125" s="790">
        <f t="shared" si="5"/>
        <v>53452.097560975613</v>
      </c>
      <c r="F125" s="737">
        <f t="shared" si="1"/>
        <v>904231.31707316905</v>
      </c>
      <c r="G125" s="795">
        <f t="shared" si="2"/>
        <v>157061.72044875723</v>
      </c>
      <c r="H125" s="796">
        <f t="shared" si="3"/>
        <v>157061.72044875723</v>
      </c>
      <c r="I125" s="793">
        <f t="shared" si="4"/>
        <v>0</v>
      </c>
      <c r="J125" s="793"/>
      <c r="K125" s="813"/>
      <c r="L125" s="797"/>
      <c r="M125" s="813"/>
      <c r="N125" s="797"/>
      <c r="O125" s="797"/>
    </row>
    <row r="126" spans="3:15">
      <c r="C126" s="789">
        <f>IF(D95="","-",+C125+1)</f>
        <v>2039</v>
      </c>
      <c r="D126" s="737">
        <f t="shared" si="0"/>
        <v>904231.31707316905</v>
      </c>
      <c r="E126" s="790">
        <f t="shared" si="5"/>
        <v>53452.097560975613</v>
      </c>
      <c r="F126" s="737">
        <f t="shared" si="1"/>
        <v>850779.21951219346</v>
      </c>
      <c r="G126" s="795">
        <f t="shared" si="2"/>
        <v>151112.84257960232</v>
      </c>
      <c r="H126" s="796">
        <f t="shared" si="3"/>
        <v>151112.84257960232</v>
      </c>
      <c r="I126" s="793">
        <f t="shared" si="4"/>
        <v>0</v>
      </c>
      <c r="J126" s="793"/>
      <c r="K126" s="813"/>
      <c r="L126" s="797"/>
      <c r="M126" s="813"/>
      <c r="N126" s="797"/>
      <c r="O126" s="797"/>
    </row>
    <row r="127" spans="3:15">
      <c r="C127" s="789">
        <f>IF(D95="","-",+C126+1)</f>
        <v>2040</v>
      </c>
      <c r="D127" s="737">
        <f t="shared" si="0"/>
        <v>850779.21951219346</v>
      </c>
      <c r="E127" s="790">
        <f t="shared" si="5"/>
        <v>53452.097560975613</v>
      </c>
      <c r="F127" s="737">
        <f t="shared" si="1"/>
        <v>797327.12195121788</v>
      </c>
      <c r="G127" s="795">
        <f t="shared" si="2"/>
        <v>145163.96471044738</v>
      </c>
      <c r="H127" s="796">
        <f t="shared" si="3"/>
        <v>145163.96471044738</v>
      </c>
      <c r="I127" s="793">
        <f t="shared" si="4"/>
        <v>0</v>
      </c>
      <c r="J127" s="793"/>
      <c r="K127" s="813"/>
      <c r="L127" s="797"/>
      <c r="M127" s="813"/>
      <c r="N127" s="797"/>
      <c r="O127" s="797"/>
    </row>
    <row r="128" spans="3:15">
      <c r="C128" s="789">
        <f>IF(D95="","-",+C127+1)</f>
        <v>2041</v>
      </c>
      <c r="D128" s="737">
        <f t="shared" si="0"/>
        <v>797327.12195121788</v>
      </c>
      <c r="E128" s="790">
        <f t="shared" si="5"/>
        <v>53452.097560975613</v>
      </c>
      <c r="F128" s="737">
        <f t="shared" si="1"/>
        <v>743875.0243902423</v>
      </c>
      <c r="G128" s="795">
        <f t="shared" si="2"/>
        <v>139215.08684129245</v>
      </c>
      <c r="H128" s="796">
        <f t="shared" si="3"/>
        <v>139215.08684129245</v>
      </c>
      <c r="I128" s="793">
        <f t="shared" si="4"/>
        <v>0</v>
      </c>
      <c r="J128" s="793"/>
      <c r="K128" s="813"/>
      <c r="L128" s="797"/>
      <c r="M128" s="813"/>
      <c r="N128" s="797"/>
      <c r="O128" s="797"/>
    </row>
    <row r="129" spans="3:15">
      <c r="C129" s="789">
        <f>IF(D95="","-",+C128+1)</f>
        <v>2042</v>
      </c>
      <c r="D129" s="737">
        <f t="shared" si="0"/>
        <v>743875.0243902423</v>
      </c>
      <c r="E129" s="790">
        <f t="shared" si="5"/>
        <v>53452.097560975613</v>
      </c>
      <c r="F129" s="737">
        <f t="shared" si="1"/>
        <v>690422.92682926671</v>
      </c>
      <c r="G129" s="791">
        <f t="shared" si="2"/>
        <v>133266.20897213751</v>
      </c>
      <c r="H129" s="796">
        <f t="shared" si="3"/>
        <v>133266.20897213751</v>
      </c>
      <c r="I129" s="793">
        <f t="shared" si="4"/>
        <v>0</v>
      </c>
      <c r="J129" s="793"/>
      <c r="K129" s="813"/>
      <c r="L129" s="797"/>
      <c r="M129" s="813"/>
      <c r="N129" s="797"/>
      <c r="O129" s="797"/>
    </row>
    <row r="130" spans="3:15">
      <c r="C130" s="789">
        <f>IF(D95="","-",+C129+1)</f>
        <v>2043</v>
      </c>
      <c r="D130" s="737">
        <f t="shared" si="0"/>
        <v>690422.92682926671</v>
      </c>
      <c r="E130" s="790">
        <f t="shared" si="5"/>
        <v>53452.097560975613</v>
      </c>
      <c r="F130" s="737">
        <f t="shared" si="1"/>
        <v>636970.82926829113</v>
      </c>
      <c r="G130" s="795">
        <f t="shared" si="2"/>
        <v>127317.33110298259</v>
      </c>
      <c r="H130" s="796">
        <f t="shared" si="3"/>
        <v>127317.33110298259</v>
      </c>
      <c r="I130" s="793">
        <f t="shared" si="4"/>
        <v>0</v>
      </c>
      <c r="J130" s="793"/>
      <c r="K130" s="813"/>
      <c r="L130" s="797"/>
      <c r="M130" s="813"/>
      <c r="N130" s="797"/>
      <c r="O130" s="797"/>
    </row>
    <row r="131" spans="3:15">
      <c r="C131" s="789">
        <f>IF(D95="","-",+C130+1)</f>
        <v>2044</v>
      </c>
      <c r="D131" s="737">
        <f t="shared" si="0"/>
        <v>636970.82926829113</v>
      </c>
      <c r="E131" s="790">
        <f t="shared" si="5"/>
        <v>53452.097560975613</v>
      </c>
      <c r="F131" s="737">
        <f t="shared" si="1"/>
        <v>583518.73170731554</v>
      </c>
      <c r="G131" s="795">
        <f t="shared" si="2"/>
        <v>121368.45323382765</v>
      </c>
      <c r="H131" s="796">
        <f t="shared" si="3"/>
        <v>121368.45323382765</v>
      </c>
      <c r="I131" s="793">
        <f t="shared" si="4"/>
        <v>0</v>
      </c>
      <c r="J131" s="793"/>
      <c r="K131" s="813"/>
      <c r="L131" s="797"/>
      <c r="M131" s="813"/>
      <c r="N131" s="797"/>
      <c r="O131" s="797"/>
    </row>
    <row r="132" spans="3:15">
      <c r="C132" s="789">
        <f>IF(D95="","-",+C131+1)</f>
        <v>2045</v>
      </c>
      <c r="D132" s="737">
        <f t="shared" si="0"/>
        <v>583518.73170731554</v>
      </c>
      <c r="E132" s="790">
        <f t="shared" si="5"/>
        <v>53452.097560975613</v>
      </c>
      <c r="F132" s="737">
        <f t="shared" si="1"/>
        <v>530066.63414633996</v>
      </c>
      <c r="G132" s="795">
        <f t="shared" si="2"/>
        <v>115419.57536467272</v>
      </c>
      <c r="H132" s="796">
        <f t="shared" si="3"/>
        <v>115419.57536467272</v>
      </c>
      <c r="I132" s="793">
        <f t="shared" si="4"/>
        <v>0</v>
      </c>
      <c r="J132" s="793"/>
      <c r="K132" s="813"/>
      <c r="L132" s="797"/>
      <c r="M132" s="813"/>
      <c r="N132" s="797"/>
      <c r="O132" s="797"/>
    </row>
    <row r="133" spans="3:15">
      <c r="C133" s="789">
        <f>IF(D95="","-",+C132+1)</f>
        <v>2046</v>
      </c>
      <c r="D133" s="737">
        <f t="shared" si="0"/>
        <v>530066.63414633996</v>
      </c>
      <c r="E133" s="790">
        <f t="shared" si="5"/>
        <v>53452.097560975613</v>
      </c>
      <c r="F133" s="737">
        <f t="shared" si="1"/>
        <v>476614.53658536437</v>
      </c>
      <c r="G133" s="795">
        <f t="shared" si="2"/>
        <v>109470.69749551779</v>
      </c>
      <c r="H133" s="796">
        <f t="shared" si="3"/>
        <v>109470.69749551779</v>
      </c>
      <c r="I133" s="793">
        <f t="shared" si="4"/>
        <v>0</v>
      </c>
      <c r="J133" s="793"/>
      <c r="K133" s="813"/>
      <c r="L133" s="797"/>
      <c r="M133" s="813"/>
      <c r="N133" s="797"/>
      <c r="O133" s="797"/>
    </row>
    <row r="134" spans="3:15">
      <c r="C134" s="789">
        <f>IF(D95="","-",+C133+1)</f>
        <v>2047</v>
      </c>
      <c r="D134" s="737">
        <f t="shared" si="0"/>
        <v>476614.53658536437</v>
      </c>
      <c r="E134" s="790">
        <f t="shared" si="5"/>
        <v>53452.097560975613</v>
      </c>
      <c r="F134" s="737">
        <f t="shared" si="1"/>
        <v>423162.43902438879</v>
      </c>
      <c r="G134" s="795">
        <f t="shared" si="2"/>
        <v>103521.81962636285</v>
      </c>
      <c r="H134" s="796">
        <f t="shared" si="3"/>
        <v>103521.81962636285</v>
      </c>
      <c r="I134" s="793">
        <f t="shared" si="4"/>
        <v>0</v>
      </c>
      <c r="J134" s="793"/>
      <c r="K134" s="813"/>
      <c r="L134" s="797"/>
      <c r="M134" s="813"/>
      <c r="N134" s="797"/>
      <c r="O134" s="797"/>
    </row>
    <row r="135" spans="3:15">
      <c r="C135" s="789">
        <f>IF(D95="","-",+C134+1)</f>
        <v>2048</v>
      </c>
      <c r="D135" s="737">
        <f t="shared" si="0"/>
        <v>423162.43902438879</v>
      </c>
      <c r="E135" s="790">
        <f t="shared" si="5"/>
        <v>53452.097560975613</v>
      </c>
      <c r="F135" s="737">
        <f t="shared" si="1"/>
        <v>369710.34146341321</v>
      </c>
      <c r="G135" s="795">
        <f t="shared" si="2"/>
        <v>97572.941757207911</v>
      </c>
      <c r="H135" s="796">
        <f t="shared" si="3"/>
        <v>97572.941757207911</v>
      </c>
      <c r="I135" s="793">
        <f t="shared" si="4"/>
        <v>0</v>
      </c>
      <c r="J135" s="793"/>
      <c r="K135" s="813"/>
      <c r="L135" s="797"/>
      <c r="M135" s="813"/>
      <c r="N135" s="797"/>
      <c r="O135" s="797"/>
    </row>
    <row r="136" spans="3:15">
      <c r="C136" s="789">
        <f>IF(D95="","-",+C135+1)</f>
        <v>2049</v>
      </c>
      <c r="D136" s="737">
        <f t="shared" si="0"/>
        <v>369710.34146341321</v>
      </c>
      <c r="E136" s="790">
        <f t="shared" si="5"/>
        <v>53452.097560975613</v>
      </c>
      <c r="F136" s="737">
        <f t="shared" si="1"/>
        <v>316258.24390243762</v>
      </c>
      <c r="G136" s="795">
        <f t="shared" si="2"/>
        <v>91624.063888052973</v>
      </c>
      <c r="H136" s="796">
        <f t="shared" si="3"/>
        <v>91624.063888052973</v>
      </c>
      <c r="I136" s="793">
        <f t="shared" si="4"/>
        <v>0</v>
      </c>
      <c r="J136" s="793"/>
      <c r="K136" s="813"/>
      <c r="L136" s="797"/>
      <c r="M136" s="813"/>
      <c r="N136" s="797"/>
      <c r="O136" s="797"/>
    </row>
    <row r="137" spans="3:15">
      <c r="C137" s="789">
        <f>IF(D95="","-",+C136+1)</f>
        <v>2050</v>
      </c>
      <c r="D137" s="737">
        <f t="shared" si="0"/>
        <v>316258.24390243762</v>
      </c>
      <c r="E137" s="790">
        <f t="shared" si="5"/>
        <v>53452.097560975613</v>
      </c>
      <c r="F137" s="737">
        <f t="shared" si="1"/>
        <v>262806.14634146204</v>
      </c>
      <c r="G137" s="795">
        <f t="shared" si="2"/>
        <v>85675.186018898035</v>
      </c>
      <c r="H137" s="796">
        <f t="shared" si="3"/>
        <v>85675.186018898035</v>
      </c>
      <c r="I137" s="793">
        <f t="shared" si="4"/>
        <v>0</v>
      </c>
      <c r="J137" s="793"/>
      <c r="K137" s="813"/>
      <c r="L137" s="797"/>
      <c r="M137" s="813"/>
      <c r="N137" s="797"/>
      <c r="O137" s="797"/>
    </row>
    <row r="138" spans="3:15">
      <c r="C138" s="789">
        <f>IF(D95="","-",+C137+1)</f>
        <v>2051</v>
      </c>
      <c r="D138" s="737">
        <f t="shared" si="0"/>
        <v>262806.14634146204</v>
      </c>
      <c r="E138" s="790">
        <f t="shared" si="5"/>
        <v>53452.097560975613</v>
      </c>
      <c r="F138" s="737">
        <f t="shared" si="1"/>
        <v>209354.04878048642</v>
      </c>
      <c r="G138" s="795">
        <f t="shared" si="2"/>
        <v>79726.308149743098</v>
      </c>
      <c r="H138" s="796">
        <f t="shared" si="3"/>
        <v>79726.308149743098</v>
      </c>
      <c r="I138" s="793">
        <f t="shared" si="4"/>
        <v>0</v>
      </c>
      <c r="J138" s="793"/>
      <c r="K138" s="813"/>
      <c r="L138" s="797"/>
      <c r="M138" s="813"/>
      <c r="N138" s="797"/>
      <c r="O138" s="797"/>
    </row>
    <row r="139" spans="3:15">
      <c r="C139" s="789">
        <f>IF(D95="","-",+C138+1)</f>
        <v>2052</v>
      </c>
      <c r="D139" s="737">
        <f t="shared" si="0"/>
        <v>209354.04878048642</v>
      </c>
      <c r="E139" s="790">
        <f t="shared" si="5"/>
        <v>53452.097560975613</v>
      </c>
      <c r="F139" s="737">
        <f t="shared" si="1"/>
        <v>155901.95121951081</v>
      </c>
      <c r="G139" s="795">
        <f t="shared" si="2"/>
        <v>73777.43028058816</v>
      </c>
      <c r="H139" s="796">
        <f t="shared" si="3"/>
        <v>73777.43028058816</v>
      </c>
      <c r="I139" s="793">
        <f t="shared" si="4"/>
        <v>0</v>
      </c>
      <c r="J139" s="793"/>
      <c r="K139" s="813"/>
      <c r="L139" s="797"/>
      <c r="M139" s="813"/>
      <c r="N139" s="797"/>
      <c r="O139" s="797"/>
    </row>
    <row r="140" spans="3:15">
      <c r="C140" s="789">
        <f>IF(D95="","-",+C139+1)</f>
        <v>2053</v>
      </c>
      <c r="D140" s="737">
        <f t="shared" si="0"/>
        <v>155901.95121951081</v>
      </c>
      <c r="E140" s="790">
        <f t="shared" si="5"/>
        <v>53452.097560975613</v>
      </c>
      <c r="F140" s="737">
        <f t="shared" si="1"/>
        <v>102449.8536585352</v>
      </c>
      <c r="G140" s="795">
        <f t="shared" si="2"/>
        <v>67828.552411433222</v>
      </c>
      <c r="H140" s="796">
        <f t="shared" si="3"/>
        <v>67828.552411433222</v>
      </c>
      <c r="I140" s="793">
        <f t="shared" si="4"/>
        <v>0</v>
      </c>
      <c r="J140" s="793"/>
      <c r="K140" s="813"/>
      <c r="L140" s="797"/>
      <c r="M140" s="813"/>
      <c r="N140" s="797"/>
      <c r="O140" s="797"/>
    </row>
    <row r="141" spans="3:15">
      <c r="C141" s="789">
        <f>IF(D95="","-",+C140+1)</f>
        <v>2054</v>
      </c>
      <c r="D141" s="737">
        <f t="shared" si="0"/>
        <v>102449.8536585352</v>
      </c>
      <c r="E141" s="790">
        <f t="shared" si="5"/>
        <v>53452.097560975613</v>
      </c>
      <c r="F141" s="737">
        <f t="shared" si="1"/>
        <v>48997.756097559584</v>
      </c>
      <c r="G141" s="795">
        <f t="shared" si="2"/>
        <v>61879.674542278284</v>
      </c>
      <c r="H141" s="796">
        <f t="shared" si="3"/>
        <v>61879.674542278284</v>
      </c>
      <c r="I141" s="793">
        <f t="shared" si="4"/>
        <v>0</v>
      </c>
      <c r="J141" s="793"/>
      <c r="K141" s="813"/>
      <c r="L141" s="797"/>
      <c r="M141" s="813"/>
      <c r="N141" s="797"/>
      <c r="O141" s="797"/>
    </row>
    <row r="142" spans="3:15">
      <c r="C142" s="789">
        <f>IF(D95="","-",+C141+1)</f>
        <v>2055</v>
      </c>
      <c r="D142" s="737">
        <f t="shared" si="0"/>
        <v>48997.756097559584</v>
      </c>
      <c r="E142" s="790">
        <f t="shared" si="5"/>
        <v>48997.756097559584</v>
      </c>
      <c r="F142" s="737">
        <f t="shared" si="1"/>
        <v>0</v>
      </c>
      <c r="G142" s="795">
        <f t="shared" si="2"/>
        <v>51724.325120922185</v>
      </c>
      <c r="H142" s="796">
        <f t="shared" si="3"/>
        <v>51724.325120922185</v>
      </c>
      <c r="I142" s="793">
        <f t="shared" si="4"/>
        <v>0</v>
      </c>
      <c r="J142" s="793"/>
      <c r="K142" s="813"/>
      <c r="L142" s="797"/>
      <c r="M142" s="813"/>
      <c r="N142" s="797"/>
      <c r="O142" s="797"/>
    </row>
    <row r="143" spans="3:15">
      <c r="C143" s="789">
        <f>IF(D95="","-",+C142+1)</f>
        <v>2056</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f>IF(D95="","-",+C143+1)</f>
        <v>2057</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f>IF(D95="","-",+C144+1)</f>
        <v>2058</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f>IF(D95="","-",+C145+1)</f>
        <v>2059</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f>IF(D95="","-",+C146+1)</f>
        <v>2060</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f>IF(D95="","-",+C147+1)</f>
        <v>2061</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f>IF(D95="","-",+C148+1)</f>
        <v>2062</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f>IF(D95="","-",+C149+1)</f>
        <v>2063</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f>IF(D95="","-",+C150+1)</f>
        <v>2064</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f>IF(D95="","-",+C151+1)</f>
        <v>2065</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f>IF(D95="","-",+C152+1)</f>
        <v>2066</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f>IF(D95="","-",+C153+1)</f>
        <v>2067</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f>IF(D95="","-",+C154+1)</f>
        <v>2068</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f>IF(D95="","-",+C155+1)</f>
        <v>2069</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f>IF(D95="","-",+C156+1)</f>
        <v>2070</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f>IF(D95="","-",+C157+1)</f>
        <v>2071</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f>IF(D95="","-",+C158+1)</f>
        <v>2072</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f>IF(D95="","-",+C159+1)</f>
        <v>2073</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1:16">
      <c r="C161" s="737" t="s">
        <v>83</v>
      </c>
      <c r="D161" s="731"/>
      <c r="E161" s="731">
        <f>SUM(E101:E160)</f>
        <v>2191536</v>
      </c>
      <c r="F161" s="731"/>
      <c r="G161" s="731">
        <f>SUM(G101:G160)</f>
        <v>7415146.5089404592</v>
      </c>
      <c r="H161" s="731">
        <f>SUM(H101:H160)</f>
        <v>7415146.5089404592</v>
      </c>
      <c r="I161" s="731">
        <f>SUM(I101:I160)</f>
        <v>0</v>
      </c>
      <c r="J161" s="731"/>
      <c r="K161" s="731"/>
      <c r="L161" s="731"/>
      <c r="M161" s="731"/>
      <c r="N161" s="731"/>
      <c r="O161" s="314"/>
    </row>
    <row r="162" spans="1:16">
      <c r="D162" s="539"/>
      <c r="E162" s="314"/>
      <c r="F162" s="314"/>
      <c r="G162" s="314"/>
      <c r="H162" s="709"/>
      <c r="I162" s="709"/>
      <c r="J162" s="731"/>
      <c r="K162" s="709"/>
      <c r="L162" s="709"/>
      <c r="M162" s="709"/>
      <c r="N162" s="709"/>
      <c r="O162" s="314"/>
    </row>
    <row r="163" spans="1:16">
      <c r="C163" s="314" t="s">
        <v>13</v>
      </c>
      <c r="D163" s="539"/>
      <c r="E163" s="314"/>
      <c r="F163" s="314"/>
      <c r="G163" s="314"/>
      <c r="H163" s="709"/>
      <c r="I163" s="709"/>
      <c r="J163" s="731"/>
      <c r="K163" s="709"/>
      <c r="L163" s="709"/>
      <c r="M163" s="709"/>
      <c r="N163" s="709"/>
      <c r="O163" s="314"/>
    </row>
    <row r="164" spans="1:16">
      <c r="C164" s="314"/>
      <c r="D164" s="539"/>
      <c r="E164" s="314"/>
      <c r="F164" s="314"/>
      <c r="G164" s="314"/>
      <c r="H164" s="709"/>
      <c r="I164" s="709"/>
      <c r="J164" s="731"/>
      <c r="K164" s="709"/>
      <c r="L164" s="709"/>
      <c r="M164" s="709"/>
      <c r="N164" s="709"/>
      <c r="O164" s="314"/>
    </row>
    <row r="165" spans="1:16">
      <c r="C165" s="750" t="s">
        <v>14</v>
      </c>
      <c r="D165" s="737"/>
      <c r="E165" s="737"/>
      <c r="F165" s="737"/>
      <c r="G165" s="731"/>
      <c r="H165" s="731"/>
      <c r="I165" s="805"/>
      <c r="J165" s="805"/>
      <c r="K165" s="805"/>
      <c r="L165" s="805"/>
      <c r="M165" s="805"/>
      <c r="N165" s="805"/>
      <c r="O165" s="314"/>
    </row>
    <row r="166" spans="1:16">
      <c r="C166" s="736" t="s">
        <v>263</v>
      </c>
      <c r="D166" s="737"/>
      <c r="E166" s="737"/>
      <c r="F166" s="737"/>
      <c r="G166" s="731"/>
      <c r="H166" s="731"/>
      <c r="I166" s="805"/>
      <c r="J166" s="805"/>
      <c r="K166" s="805"/>
      <c r="L166" s="805"/>
      <c r="M166" s="805"/>
      <c r="N166" s="805"/>
      <c r="O166" s="314"/>
    </row>
    <row r="167" spans="1:16">
      <c r="C167" s="736" t="s">
        <v>84</v>
      </c>
      <c r="D167" s="737"/>
      <c r="E167" s="737"/>
      <c r="F167" s="737"/>
      <c r="G167" s="731"/>
      <c r="H167" s="731"/>
      <c r="I167" s="805"/>
      <c r="J167" s="805"/>
      <c r="K167" s="805"/>
      <c r="L167" s="805"/>
      <c r="M167" s="805"/>
      <c r="N167" s="805"/>
      <c r="O167" s="314"/>
    </row>
    <row r="168" spans="1:16">
      <c r="C168" s="736"/>
      <c r="D168" s="737"/>
      <c r="E168" s="737"/>
      <c r="F168" s="737"/>
      <c r="G168" s="731"/>
      <c r="H168" s="731"/>
      <c r="I168" s="805"/>
      <c r="J168" s="805"/>
      <c r="K168" s="805"/>
      <c r="L168" s="805"/>
      <c r="M168" s="805"/>
      <c r="N168" s="805"/>
      <c r="O168" s="314"/>
    </row>
    <row r="169" spans="1:16">
      <c r="C169" s="1568" t="s">
        <v>6</v>
      </c>
      <c r="D169" s="1568"/>
      <c r="E169" s="1568"/>
      <c r="F169" s="1568"/>
      <c r="G169" s="1568"/>
      <c r="H169" s="1568"/>
      <c r="I169" s="1568"/>
      <c r="J169" s="1568"/>
      <c r="K169" s="1568"/>
      <c r="L169" s="1568"/>
      <c r="M169" s="1568"/>
      <c r="N169" s="1568"/>
      <c r="O169" s="1568"/>
    </row>
    <row r="170" spans="1:16">
      <c r="C170" s="1568"/>
      <c r="D170" s="1568"/>
      <c r="E170" s="1568"/>
      <c r="F170" s="1568"/>
      <c r="G170" s="1568"/>
      <c r="H170" s="1568"/>
      <c r="I170" s="1568"/>
      <c r="J170" s="1568"/>
      <c r="K170" s="1568"/>
      <c r="L170" s="1568"/>
      <c r="M170" s="1568"/>
      <c r="N170" s="1568"/>
      <c r="O170" s="1568"/>
    </row>
    <row r="171" spans="1:16">
      <c r="C171" s="736"/>
      <c r="D171" s="737"/>
      <c r="E171" s="737"/>
      <c r="F171" s="737"/>
      <c r="G171" s="731"/>
      <c r="H171" s="731"/>
    </row>
    <row r="172" spans="1:16" ht="20.25">
      <c r="A172" s="738" t="str">
        <f>""&amp;A96&amp;" Worksheet J -  ATRR PROJECTED Calculation for PJM Projects Charged to Benefiting Zones"</f>
        <v xml:space="preserve"> Worksheet J -  ATRR PROJECTED Calculation for PJM Projects Charged to Benefiting Zones</v>
      </c>
      <c r="B172" s="348"/>
      <c r="C172" s="726"/>
      <c r="D172" s="539"/>
      <c r="E172" s="314"/>
      <c r="F172" s="708"/>
      <c r="G172" s="314"/>
      <c r="H172" s="709"/>
      <c r="K172" s="565"/>
      <c r="L172" s="565"/>
      <c r="M172" s="565"/>
      <c r="N172" s="654" t="str">
        <f>"Page "&amp;SUM(P$8:P172)&amp;" of "</f>
        <v xml:space="preserve">Page 3 of </v>
      </c>
      <c r="O172" s="655">
        <f>COUNT(P$8:P$56653)</f>
        <v>12</v>
      </c>
      <c r="P172" s="739">
        <v>1</v>
      </c>
    </row>
    <row r="173" spans="1:16">
      <c r="B173" s="348"/>
      <c r="C173" s="314"/>
      <c r="D173" s="539"/>
      <c r="E173" s="314"/>
      <c r="F173" s="314"/>
      <c r="G173" s="314"/>
      <c r="H173" s="709"/>
      <c r="I173" s="314"/>
      <c r="J173" s="427"/>
      <c r="K173" s="314"/>
      <c r="L173" s="314"/>
      <c r="M173" s="314"/>
      <c r="N173" s="314"/>
      <c r="O173" s="314"/>
      <c r="P173" s="427"/>
    </row>
    <row r="174" spans="1:16" ht="18">
      <c r="B174" s="658" t="s">
        <v>466</v>
      </c>
      <c r="C174" s="740" t="s">
        <v>85</v>
      </c>
      <c r="D174" s="539"/>
      <c r="E174" s="314"/>
      <c r="F174" s="314"/>
      <c r="G174" s="314"/>
      <c r="H174" s="709"/>
      <c r="I174" s="709"/>
      <c r="J174" s="731"/>
      <c r="K174" s="709"/>
      <c r="L174" s="709"/>
      <c r="M174" s="709"/>
      <c r="N174" s="709"/>
      <c r="O174" s="314"/>
    </row>
    <row r="175" spans="1:16" ht="18.75">
      <c r="B175" s="658"/>
      <c r="C175" s="657"/>
      <c r="D175" s="539"/>
      <c r="E175" s="314"/>
      <c r="F175" s="314"/>
      <c r="G175" s="314"/>
      <c r="H175" s="709"/>
      <c r="I175" s="709"/>
      <c r="J175" s="731"/>
      <c r="K175" s="709"/>
      <c r="L175" s="709"/>
      <c r="M175" s="709"/>
      <c r="N175" s="709"/>
      <c r="O175" s="314"/>
    </row>
    <row r="176" spans="1:16" ht="18.75">
      <c r="B176" s="658"/>
      <c r="C176" s="657" t="s">
        <v>86</v>
      </c>
      <c r="D176" s="539"/>
      <c r="E176" s="314"/>
      <c r="F176" s="314"/>
      <c r="G176" s="314"/>
      <c r="H176" s="709"/>
      <c r="I176" s="709"/>
      <c r="J176" s="731"/>
      <c r="K176" s="709"/>
      <c r="L176" s="709"/>
      <c r="M176" s="709"/>
      <c r="N176" s="709"/>
      <c r="O176" s="314"/>
    </row>
    <row r="177" spans="2:15" ht="15.75" thickBot="1">
      <c r="C177" s="240"/>
      <c r="D177" s="539"/>
      <c r="E177" s="314"/>
      <c r="F177" s="314"/>
      <c r="G177" s="314"/>
      <c r="H177" s="709"/>
      <c r="I177" s="709"/>
      <c r="J177" s="731"/>
      <c r="K177" s="709"/>
      <c r="L177" s="709"/>
      <c r="M177" s="709"/>
      <c r="N177" s="709"/>
      <c r="O177" s="314"/>
    </row>
    <row r="178" spans="2:15" ht="15.75">
      <c r="C178" s="660" t="s">
        <v>87</v>
      </c>
      <c r="D178" s="539"/>
      <c r="E178" s="314"/>
      <c r="F178" s="314"/>
      <c r="G178" s="807"/>
      <c r="H178" s="314" t="s">
        <v>66</v>
      </c>
      <c r="I178" s="314"/>
      <c r="J178" s="427"/>
      <c r="K178" s="741" t="s">
        <v>91</v>
      </c>
      <c r="L178" s="742"/>
      <c r="M178" s="743"/>
      <c r="N178" s="744">
        <f>IF(I184=0,0,VLOOKUP(I184,C191:O250,5))</f>
        <v>9737423.3159043435</v>
      </c>
      <c r="O178" s="314"/>
    </row>
    <row r="179" spans="2:15" ht="15.75">
      <c r="C179" s="660"/>
      <c r="D179" s="539"/>
      <c r="E179" s="314"/>
      <c r="F179" s="314"/>
      <c r="G179" s="314"/>
      <c r="H179" s="745"/>
      <c r="I179" s="745"/>
      <c r="J179" s="746"/>
      <c r="K179" s="747" t="s">
        <v>92</v>
      </c>
      <c r="L179" s="748"/>
      <c r="M179" s="427"/>
      <c r="N179" s="749">
        <f>IF(I184=0,0,VLOOKUP(I184,C191:O250,6))</f>
        <v>9737423.3159043435</v>
      </c>
      <c r="O179" s="314"/>
    </row>
    <row r="180" spans="2:15" ht="13.5" thickBot="1">
      <c r="C180" s="750" t="s">
        <v>88</v>
      </c>
      <c r="D180" s="1567" t="s">
        <v>812</v>
      </c>
      <c r="E180" s="1567"/>
      <c r="F180" s="1567"/>
      <c r="G180" s="1567"/>
      <c r="H180" s="1567"/>
      <c r="I180" s="1567"/>
      <c r="J180" s="731"/>
      <c r="K180" s="751" t="s">
        <v>230</v>
      </c>
      <c r="L180" s="752"/>
      <c r="M180" s="752"/>
      <c r="N180" s="753">
        <f>+N179-N178</f>
        <v>0</v>
      </c>
      <c r="O180" s="314"/>
    </row>
    <row r="181" spans="2:15">
      <c r="C181" s="754"/>
      <c r="D181" s="755"/>
      <c r="E181" s="735"/>
      <c r="F181" s="735"/>
      <c r="G181" s="756"/>
      <c r="H181" s="709"/>
      <c r="I181" s="709"/>
      <c r="J181" s="731"/>
      <c r="K181" s="709"/>
      <c r="L181" s="709"/>
      <c r="M181" s="709"/>
      <c r="N181" s="709"/>
      <c r="O181" s="314"/>
    </row>
    <row r="182" spans="2:15" ht="13.5" thickBot="1">
      <c r="C182" s="757"/>
      <c r="D182" s="758"/>
      <c r="E182" s="756"/>
      <c r="F182" s="756"/>
      <c r="G182" s="756"/>
      <c r="H182" s="756"/>
      <c r="I182" s="756"/>
      <c r="J182" s="759"/>
      <c r="K182" s="756"/>
      <c r="L182" s="756"/>
      <c r="M182" s="756"/>
      <c r="N182" s="756"/>
      <c r="O182" s="348"/>
    </row>
    <row r="183" spans="2:15" ht="13.5" thickBot="1">
      <c r="C183" s="760" t="s">
        <v>89</v>
      </c>
      <c r="D183" s="761"/>
      <c r="E183" s="761"/>
      <c r="F183" s="761"/>
      <c r="G183" s="761"/>
      <c r="H183" s="761"/>
      <c r="I183" s="762"/>
      <c r="J183" s="763"/>
      <c r="K183" s="314"/>
      <c r="L183" s="314"/>
      <c r="M183" s="314"/>
      <c r="N183" s="314"/>
      <c r="O183" s="764"/>
    </row>
    <row r="184" spans="2:15" ht="15">
      <c r="C184" s="765" t="s">
        <v>67</v>
      </c>
      <c r="D184" s="809">
        <v>85102120</v>
      </c>
      <c r="E184" s="726" t="s">
        <v>68</v>
      </c>
      <c r="G184" s="766"/>
      <c r="H184" s="766"/>
      <c r="I184" s="767">
        <f>$L$26</f>
        <v>2022</v>
      </c>
      <c r="J184" s="555"/>
      <c r="K184" s="1569" t="s">
        <v>239</v>
      </c>
      <c r="L184" s="1569"/>
      <c r="M184" s="1569"/>
      <c r="N184" s="1569"/>
      <c r="O184" s="1569"/>
    </row>
    <row r="185" spans="2:15">
      <c r="C185" s="765" t="s">
        <v>70</v>
      </c>
      <c r="D185" s="810">
        <v>2014</v>
      </c>
      <c r="E185" s="765" t="s">
        <v>71</v>
      </c>
      <c r="F185" s="766"/>
      <c r="H185" s="173"/>
      <c r="I185" s="811">
        <f>IF(G178="",0,$F$17)</f>
        <v>0</v>
      </c>
      <c r="J185" s="768"/>
      <c r="K185" s="731" t="s">
        <v>239</v>
      </c>
    </row>
    <row r="186" spans="2:15">
      <c r="C186" s="765" t="s">
        <v>72</v>
      </c>
      <c r="D186" s="809">
        <v>8</v>
      </c>
      <c r="E186" s="765" t="s">
        <v>73</v>
      </c>
      <c r="F186" s="766"/>
      <c r="H186" s="173"/>
      <c r="I186" s="769">
        <f>$G$70</f>
        <v>0.11129362813814259</v>
      </c>
      <c r="J186" s="770"/>
      <c r="K186" s="173" t="str">
        <f>"          INPUT PROJECTED ARR (WITH &amp; WITHOUT INCENTIVES) FROM EACH PRIOR YEAR"</f>
        <v xml:space="preserve">          INPUT PROJECTED ARR (WITH &amp; WITHOUT INCENTIVES) FROM EACH PRIOR YEAR</v>
      </c>
    </row>
    <row r="187" spans="2:15">
      <c r="C187" s="765" t="s">
        <v>74</v>
      </c>
      <c r="D187" s="771">
        <f>$G$79</f>
        <v>41</v>
      </c>
      <c r="E187" s="765" t="s">
        <v>75</v>
      </c>
      <c r="F187" s="766"/>
      <c r="H187" s="173"/>
      <c r="I187" s="769">
        <f>IF(G178="",I186,$G$69)</f>
        <v>0.11129362813814259</v>
      </c>
      <c r="J187" s="772"/>
      <c r="K187" s="173" t="s">
        <v>152</v>
      </c>
    </row>
    <row r="188" spans="2:15" ht="13.5" thickBot="1">
      <c r="C188" s="765" t="s">
        <v>76</v>
      </c>
      <c r="D188" s="808" t="s">
        <v>811</v>
      </c>
      <c r="E188" s="773" t="s">
        <v>77</v>
      </c>
      <c r="F188" s="774"/>
      <c r="G188" s="775"/>
      <c r="H188" s="775"/>
      <c r="I188" s="753">
        <f>IF(D184=0,0,D184/D187)</f>
        <v>2075661.4634146341</v>
      </c>
      <c r="J188" s="731"/>
      <c r="K188" s="731" t="s">
        <v>158</v>
      </c>
      <c r="L188" s="731"/>
      <c r="M188" s="731"/>
      <c r="N188" s="731"/>
      <c r="O188" s="427"/>
    </row>
    <row r="189" spans="2:15" ht="38.25">
      <c r="B189" s="846"/>
      <c r="C189" s="776" t="s">
        <v>67</v>
      </c>
      <c r="D189" s="777" t="s">
        <v>78</v>
      </c>
      <c r="E189" s="778" t="s">
        <v>79</v>
      </c>
      <c r="F189" s="777" t="s">
        <v>80</v>
      </c>
      <c r="G189" s="778" t="s">
        <v>151</v>
      </c>
      <c r="H189" s="779" t="s">
        <v>151</v>
      </c>
      <c r="I189" s="776" t="s">
        <v>90</v>
      </c>
      <c r="J189" s="780"/>
      <c r="K189" s="778" t="s">
        <v>160</v>
      </c>
      <c r="L189" s="781"/>
      <c r="M189" s="778" t="s">
        <v>160</v>
      </c>
      <c r="N189" s="781"/>
      <c r="O189" s="781"/>
    </row>
    <row r="190" spans="2:15" ht="13.5" thickBot="1">
      <c r="C190" s="782" t="s">
        <v>469</v>
      </c>
      <c r="D190" s="783" t="s">
        <v>470</v>
      </c>
      <c r="E190" s="782" t="s">
        <v>363</v>
      </c>
      <c r="F190" s="783" t="s">
        <v>470</v>
      </c>
      <c r="G190" s="784" t="s">
        <v>93</v>
      </c>
      <c r="H190" s="785" t="s">
        <v>95</v>
      </c>
      <c r="I190" s="786" t="s">
        <v>15</v>
      </c>
      <c r="J190" s="787"/>
      <c r="K190" s="784" t="s">
        <v>82</v>
      </c>
      <c r="L190" s="788"/>
      <c r="M190" s="784" t="s">
        <v>95</v>
      </c>
      <c r="N190" s="788"/>
      <c r="O190" s="788"/>
    </row>
    <row r="191" spans="2:15">
      <c r="C191" s="789">
        <f>IF(D185= "","-",D185)</f>
        <v>2014</v>
      </c>
      <c r="D191" s="737">
        <f>+D184</f>
        <v>85102120</v>
      </c>
      <c r="E191" s="790">
        <f>+I188/12*(12-D186)</f>
        <v>691887.15447154467</v>
      </c>
      <c r="F191" s="737">
        <f>+D191-E191</f>
        <v>84410232.845528454</v>
      </c>
      <c r="G191" s="1001">
        <f>+$I$96*((D191+F191)/2)+E191</f>
        <v>10124709.535677474</v>
      </c>
      <c r="H191" s="1002">
        <f>$I$97*((D191+F191)/2)+E191</f>
        <v>10124709.535677474</v>
      </c>
      <c r="I191" s="793">
        <f>+H191-G191</f>
        <v>0</v>
      </c>
      <c r="J191" s="793"/>
      <c r="K191" s="812">
        <v>2795819</v>
      </c>
      <c r="L191" s="794"/>
      <c r="M191" s="812">
        <v>2795819</v>
      </c>
      <c r="N191" s="794"/>
      <c r="O191" s="794"/>
    </row>
    <row r="192" spans="2:15">
      <c r="C192" s="789">
        <f>IF(D185="","-",+C191+1)</f>
        <v>2015</v>
      </c>
      <c r="D192" s="737">
        <f t="shared" ref="D192:D250" si="6">F191</f>
        <v>84410232.845528454</v>
      </c>
      <c r="E192" s="790">
        <f>IF(D192&gt;$I$188,$I$188,D192)</f>
        <v>2075661.4634146341</v>
      </c>
      <c r="F192" s="737">
        <f t="shared" ref="F192:F250" si="7">+D192-E192</f>
        <v>82334571.382113814</v>
      </c>
      <c r="G192" s="795">
        <f t="shared" ref="G192:G250" si="8">+$I$96*((D192+F192)/2)+E192</f>
        <v>11354478.581253937</v>
      </c>
      <c r="H192" s="796">
        <f t="shared" ref="H192:H250" si="9">$I$97*((D192+F192)/2)+E192</f>
        <v>11354478.581253937</v>
      </c>
      <c r="I192" s="793">
        <f t="shared" ref="I192:I250" si="10">+H192-G192</f>
        <v>0</v>
      </c>
      <c r="J192" s="793"/>
      <c r="K192" s="813">
        <v>9963550</v>
      </c>
      <c r="L192" s="797"/>
      <c r="M192" s="813">
        <v>9963550</v>
      </c>
      <c r="N192" s="797"/>
      <c r="O192" s="797"/>
    </row>
    <row r="193" spans="3:15">
      <c r="C193" s="789">
        <f>IF(D185="","-",+C192+1)</f>
        <v>2016</v>
      </c>
      <c r="D193" s="737">
        <f t="shared" si="6"/>
        <v>82334571.382113814</v>
      </c>
      <c r="E193" s="790">
        <f t="shared" ref="E193:E250" si="11">IF(D193&gt;$I$188,$I$188,D193)</f>
        <v>2075661.4634146341</v>
      </c>
      <c r="F193" s="737">
        <f t="shared" si="7"/>
        <v>80258909.918699175</v>
      </c>
      <c r="G193" s="795">
        <f t="shared" si="8"/>
        <v>11123470.686203994</v>
      </c>
      <c r="H193" s="796">
        <f t="shared" si="9"/>
        <v>11123470.686203994</v>
      </c>
      <c r="I193" s="793">
        <f t="shared" si="10"/>
        <v>0</v>
      </c>
      <c r="J193" s="793"/>
      <c r="K193" s="813">
        <v>9645772</v>
      </c>
      <c r="L193" s="797"/>
      <c r="M193" s="813">
        <v>9645772</v>
      </c>
      <c r="N193" s="797"/>
      <c r="O193" s="797"/>
    </row>
    <row r="194" spans="3:15">
      <c r="C194" s="789">
        <f>IF(D185="","-",+C193+1)</f>
        <v>2017</v>
      </c>
      <c r="D194" s="737">
        <f t="shared" si="6"/>
        <v>80258909.918699175</v>
      </c>
      <c r="E194" s="790">
        <f t="shared" si="11"/>
        <v>2075661.4634146341</v>
      </c>
      <c r="F194" s="737">
        <f t="shared" si="7"/>
        <v>78183248.455284536</v>
      </c>
      <c r="G194" s="795">
        <f t="shared" si="8"/>
        <v>10892462.791154053</v>
      </c>
      <c r="H194" s="796">
        <f t="shared" si="9"/>
        <v>10892462.791154053</v>
      </c>
      <c r="I194" s="793">
        <f t="shared" si="10"/>
        <v>0</v>
      </c>
      <c r="J194" s="793"/>
      <c r="K194" s="813">
        <v>10531029</v>
      </c>
      <c r="L194" s="797"/>
      <c r="M194" s="813">
        <v>10531029</v>
      </c>
      <c r="N194" s="797"/>
      <c r="O194" s="797"/>
    </row>
    <row r="195" spans="3:15">
      <c r="C195" s="1311">
        <f>IF(D185="","-",+C194+1)</f>
        <v>2018</v>
      </c>
      <c r="D195" s="737">
        <f t="shared" si="6"/>
        <v>78183248.455284536</v>
      </c>
      <c r="E195" s="790">
        <f t="shared" si="11"/>
        <v>2075661.4634146341</v>
      </c>
      <c r="F195" s="737">
        <f t="shared" si="7"/>
        <v>76107586.991869897</v>
      </c>
      <c r="G195" s="795">
        <f t="shared" si="8"/>
        <v>10661454.89610411</v>
      </c>
      <c r="H195" s="796">
        <f t="shared" si="9"/>
        <v>10661454.89610411</v>
      </c>
      <c r="I195" s="793">
        <f t="shared" si="10"/>
        <v>0</v>
      </c>
      <c r="J195" s="793"/>
      <c r="K195" s="813">
        <v>9156379</v>
      </c>
      <c r="L195" s="797"/>
      <c r="M195" s="813">
        <v>9156379</v>
      </c>
      <c r="N195" s="797"/>
      <c r="O195" s="797"/>
    </row>
    <row r="196" spans="3:15">
      <c r="C196" s="1307">
        <f>IF(D185="","-",+C195+1)</f>
        <v>2019</v>
      </c>
      <c r="D196" s="737">
        <f t="shared" si="6"/>
        <v>76107586.991869897</v>
      </c>
      <c r="E196" s="790">
        <f t="shared" si="11"/>
        <v>2075661.4634146341</v>
      </c>
      <c r="F196" s="737">
        <f t="shared" si="7"/>
        <v>74031925.528455257</v>
      </c>
      <c r="G196" s="795">
        <f t="shared" si="8"/>
        <v>10430447.00105417</v>
      </c>
      <c r="H196" s="796">
        <f t="shared" si="9"/>
        <v>10430447.00105417</v>
      </c>
      <c r="I196" s="793">
        <f t="shared" si="10"/>
        <v>0</v>
      </c>
      <c r="J196" s="793"/>
      <c r="K196" s="813"/>
      <c r="L196" s="797"/>
      <c r="M196" s="813"/>
      <c r="N196" s="797"/>
      <c r="O196" s="797"/>
    </row>
    <row r="197" spans="3:15">
      <c r="C197" s="789">
        <f>IF(D185="","-",+C196+1)</f>
        <v>2020</v>
      </c>
      <c r="D197" s="737">
        <f t="shared" si="6"/>
        <v>74031925.528455257</v>
      </c>
      <c r="E197" s="790">
        <f t="shared" si="11"/>
        <v>2075661.4634146341</v>
      </c>
      <c r="F197" s="737">
        <f t="shared" si="7"/>
        <v>71956264.065040618</v>
      </c>
      <c r="G197" s="795">
        <f t="shared" si="8"/>
        <v>10199439.106004227</v>
      </c>
      <c r="H197" s="796">
        <f t="shared" si="9"/>
        <v>10199439.106004227</v>
      </c>
      <c r="I197" s="793">
        <f t="shared" si="10"/>
        <v>0</v>
      </c>
      <c r="J197" s="793"/>
      <c r="K197" s="813"/>
      <c r="L197" s="797"/>
      <c r="M197" s="813"/>
      <c r="N197" s="797"/>
      <c r="O197" s="797"/>
    </row>
    <row r="198" spans="3:15">
      <c r="C198" s="789">
        <f>IF(D185="","-",+C197+1)</f>
        <v>2021</v>
      </c>
      <c r="D198" s="737">
        <f t="shared" si="6"/>
        <v>71956264.065040618</v>
      </c>
      <c r="E198" s="790">
        <f t="shared" si="11"/>
        <v>2075661.4634146341</v>
      </c>
      <c r="F198" s="737">
        <f t="shared" si="7"/>
        <v>69880602.601625979</v>
      </c>
      <c r="G198" s="795">
        <f t="shared" si="8"/>
        <v>9968431.2109542862</v>
      </c>
      <c r="H198" s="796">
        <f t="shared" si="9"/>
        <v>9968431.2109542862</v>
      </c>
      <c r="I198" s="793">
        <f t="shared" si="10"/>
        <v>0</v>
      </c>
      <c r="J198" s="793"/>
      <c r="K198" s="813"/>
      <c r="L198" s="797"/>
      <c r="M198" s="813"/>
      <c r="N198" s="797"/>
      <c r="O198" s="797"/>
    </row>
    <row r="199" spans="3:15">
      <c r="C199" s="789">
        <f>IF(D185="","-",+C198+1)</f>
        <v>2022</v>
      </c>
      <c r="D199" s="737">
        <f t="shared" si="6"/>
        <v>69880602.601625979</v>
      </c>
      <c r="E199" s="790">
        <f t="shared" si="11"/>
        <v>2075661.4634146341</v>
      </c>
      <c r="F199" s="737">
        <f t="shared" si="7"/>
        <v>67804941.13821134</v>
      </c>
      <c r="G199" s="795">
        <f t="shared" si="8"/>
        <v>9737423.3159043435</v>
      </c>
      <c r="H199" s="796">
        <f t="shared" si="9"/>
        <v>9737423.3159043435</v>
      </c>
      <c r="I199" s="793">
        <f t="shared" si="10"/>
        <v>0</v>
      </c>
      <c r="J199" s="793"/>
      <c r="K199" s="813"/>
      <c r="L199" s="797"/>
      <c r="M199" s="813"/>
      <c r="N199" s="797"/>
      <c r="O199" s="797"/>
    </row>
    <row r="200" spans="3:15">
      <c r="C200" s="789">
        <f>IF(D185="","-",+C199+1)</f>
        <v>2023</v>
      </c>
      <c r="D200" s="737">
        <f t="shared" si="6"/>
        <v>67804941.13821134</v>
      </c>
      <c r="E200" s="790">
        <f t="shared" si="11"/>
        <v>2075661.4634146341</v>
      </c>
      <c r="F200" s="737">
        <f t="shared" si="7"/>
        <v>65729279.674796708</v>
      </c>
      <c r="G200" s="795">
        <f t="shared" si="8"/>
        <v>9506415.4208544027</v>
      </c>
      <c r="H200" s="796">
        <f t="shared" si="9"/>
        <v>9506415.4208544027</v>
      </c>
      <c r="I200" s="793">
        <f t="shared" si="10"/>
        <v>0</v>
      </c>
      <c r="J200" s="793"/>
      <c r="K200" s="813"/>
      <c r="L200" s="797"/>
      <c r="M200" s="813"/>
      <c r="N200" s="797"/>
      <c r="O200" s="797"/>
    </row>
    <row r="201" spans="3:15">
      <c r="C201" s="789">
        <f>IF(D185="","-",+C200+1)</f>
        <v>2024</v>
      </c>
      <c r="D201" s="737">
        <f t="shared" si="6"/>
        <v>65729279.674796708</v>
      </c>
      <c r="E201" s="790">
        <f t="shared" si="11"/>
        <v>2075661.4634146341</v>
      </c>
      <c r="F201" s="737">
        <f t="shared" si="7"/>
        <v>63653618.211382076</v>
      </c>
      <c r="G201" s="795">
        <f t="shared" si="8"/>
        <v>9275407.5258044619</v>
      </c>
      <c r="H201" s="796">
        <f t="shared" si="9"/>
        <v>9275407.5258044619</v>
      </c>
      <c r="I201" s="793">
        <f t="shared" si="10"/>
        <v>0</v>
      </c>
      <c r="J201" s="793"/>
      <c r="K201" s="813"/>
      <c r="L201" s="797"/>
      <c r="M201" s="813"/>
      <c r="N201" s="797"/>
      <c r="O201" s="797"/>
    </row>
    <row r="202" spans="3:15">
      <c r="C202" s="789">
        <f>IF(D185="","-",+C201+1)</f>
        <v>2025</v>
      </c>
      <c r="D202" s="737">
        <f t="shared" si="6"/>
        <v>63653618.211382076</v>
      </c>
      <c r="E202" s="790">
        <f t="shared" si="11"/>
        <v>2075661.4634146341</v>
      </c>
      <c r="F202" s="737">
        <f t="shared" si="7"/>
        <v>61577956.747967444</v>
      </c>
      <c r="G202" s="795">
        <f t="shared" si="8"/>
        <v>9044399.6307545211</v>
      </c>
      <c r="H202" s="796">
        <f t="shared" si="9"/>
        <v>9044399.6307545211</v>
      </c>
      <c r="I202" s="793">
        <f t="shared" si="10"/>
        <v>0</v>
      </c>
      <c r="J202" s="793"/>
      <c r="K202" s="813"/>
      <c r="L202" s="797"/>
      <c r="M202" s="813"/>
      <c r="N202" s="797"/>
      <c r="O202" s="797"/>
    </row>
    <row r="203" spans="3:15">
      <c r="C203" s="789">
        <f>IF(D185="","-",+C202+1)</f>
        <v>2026</v>
      </c>
      <c r="D203" s="737">
        <f t="shared" si="6"/>
        <v>61577956.747967444</v>
      </c>
      <c r="E203" s="790">
        <f t="shared" si="11"/>
        <v>2075661.4634146341</v>
      </c>
      <c r="F203" s="737">
        <f t="shared" si="7"/>
        <v>59502295.284552813</v>
      </c>
      <c r="G203" s="795">
        <f t="shared" si="8"/>
        <v>8813391.7357045803</v>
      </c>
      <c r="H203" s="796">
        <f t="shared" si="9"/>
        <v>8813391.7357045803</v>
      </c>
      <c r="I203" s="793">
        <f t="shared" si="10"/>
        <v>0</v>
      </c>
      <c r="J203" s="793"/>
      <c r="K203" s="813"/>
      <c r="L203" s="797"/>
      <c r="M203" s="813"/>
      <c r="N203" s="798"/>
      <c r="O203" s="797"/>
    </row>
    <row r="204" spans="3:15">
      <c r="C204" s="789">
        <f>IF(D185="","-",+C203+1)</f>
        <v>2027</v>
      </c>
      <c r="D204" s="737">
        <f t="shared" si="6"/>
        <v>59502295.284552813</v>
      </c>
      <c r="E204" s="790">
        <f t="shared" si="11"/>
        <v>2075661.4634146341</v>
      </c>
      <c r="F204" s="737">
        <f t="shared" si="7"/>
        <v>57426633.821138181</v>
      </c>
      <c r="G204" s="795">
        <f t="shared" si="8"/>
        <v>8582383.8406546395</v>
      </c>
      <c r="H204" s="796">
        <f t="shared" si="9"/>
        <v>8582383.8406546395</v>
      </c>
      <c r="I204" s="793">
        <f t="shared" si="10"/>
        <v>0</v>
      </c>
      <c r="J204" s="793"/>
      <c r="K204" s="813"/>
      <c r="L204" s="797"/>
      <c r="M204" s="813"/>
      <c r="N204" s="797"/>
      <c r="O204" s="797"/>
    </row>
    <row r="205" spans="3:15">
      <c r="C205" s="789">
        <f>IF(D185="","-",+C204+1)</f>
        <v>2028</v>
      </c>
      <c r="D205" s="737">
        <f t="shared" si="6"/>
        <v>57426633.821138181</v>
      </c>
      <c r="E205" s="790">
        <f t="shared" si="11"/>
        <v>2075661.4634146341</v>
      </c>
      <c r="F205" s="737">
        <f t="shared" si="7"/>
        <v>55350972.357723549</v>
      </c>
      <c r="G205" s="795">
        <f t="shared" si="8"/>
        <v>8351375.9456046987</v>
      </c>
      <c r="H205" s="796">
        <f t="shared" si="9"/>
        <v>8351375.9456046987</v>
      </c>
      <c r="I205" s="793">
        <f t="shared" si="10"/>
        <v>0</v>
      </c>
      <c r="J205" s="793"/>
      <c r="K205" s="813"/>
      <c r="L205" s="797"/>
      <c r="M205" s="813"/>
      <c r="N205" s="797"/>
      <c r="O205" s="797"/>
    </row>
    <row r="206" spans="3:15">
      <c r="C206" s="789">
        <f>IF(D185="","-",+C205+1)</f>
        <v>2029</v>
      </c>
      <c r="D206" s="737">
        <f t="shared" si="6"/>
        <v>55350972.357723549</v>
      </c>
      <c r="E206" s="790">
        <f t="shared" si="11"/>
        <v>2075661.4634146341</v>
      </c>
      <c r="F206" s="737">
        <f t="shared" si="7"/>
        <v>53275310.894308917</v>
      </c>
      <c r="G206" s="795">
        <f t="shared" si="8"/>
        <v>8120368.0505547579</v>
      </c>
      <c r="H206" s="796">
        <f t="shared" si="9"/>
        <v>8120368.0505547579</v>
      </c>
      <c r="I206" s="793">
        <f t="shared" si="10"/>
        <v>0</v>
      </c>
      <c r="J206" s="793"/>
      <c r="K206" s="813"/>
      <c r="L206" s="797"/>
      <c r="M206" s="813"/>
      <c r="N206" s="797"/>
      <c r="O206" s="797"/>
    </row>
    <row r="207" spans="3:15">
      <c r="C207" s="789">
        <f>IF(D185="","-",+C206+1)</f>
        <v>2030</v>
      </c>
      <c r="D207" s="737">
        <f t="shared" si="6"/>
        <v>53275310.894308917</v>
      </c>
      <c r="E207" s="790">
        <f t="shared" si="11"/>
        <v>2075661.4634146341</v>
      </c>
      <c r="F207" s="737">
        <f t="shared" si="7"/>
        <v>51199649.430894285</v>
      </c>
      <c r="G207" s="795">
        <f t="shared" si="8"/>
        <v>7889360.1555048171</v>
      </c>
      <c r="H207" s="796">
        <f t="shared" si="9"/>
        <v>7889360.1555048171</v>
      </c>
      <c r="I207" s="793">
        <f t="shared" si="10"/>
        <v>0</v>
      </c>
      <c r="J207" s="793"/>
      <c r="K207" s="813"/>
      <c r="L207" s="797"/>
      <c r="M207" s="813"/>
      <c r="N207" s="797"/>
      <c r="O207" s="797"/>
    </row>
    <row r="208" spans="3:15">
      <c r="C208" s="789">
        <f>IF(D185="","-",+C207+1)</f>
        <v>2031</v>
      </c>
      <c r="D208" s="737">
        <f t="shared" si="6"/>
        <v>51199649.430894285</v>
      </c>
      <c r="E208" s="790">
        <f t="shared" si="11"/>
        <v>2075661.4634146341</v>
      </c>
      <c r="F208" s="737">
        <f t="shared" si="7"/>
        <v>49123987.967479654</v>
      </c>
      <c r="G208" s="795">
        <f t="shared" si="8"/>
        <v>7658352.2604548763</v>
      </c>
      <c r="H208" s="796">
        <f t="shared" si="9"/>
        <v>7658352.2604548763</v>
      </c>
      <c r="I208" s="793">
        <f t="shared" si="10"/>
        <v>0</v>
      </c>
      <c r="J208" s="793"/>
      <c r="K208" s="813"/>
      <c r="L208" s="797"/>
      <c r="M208" s="813"/>
      <c r="N208" s="797"/>
      <c r="O208" s="797"/>
    </row>
    <row r="209" spans="3:15">
      <c r="C209" s="789">
        <f>IF(D185="","-",+C208+1)</f>
        <v>2032</v>
      </c>
      <c r="D209" s="737">
        <f t="shared" si="6"/>
        <v>49123987.967479654</v>
      </c>
      <c r="E209" s="790">
        <f t="shared" si="11"/>
        <v>2075661.4634146341</v>
      </c>
      <c r="F209" s="737">
        <f t="shared" si="7"/>
        <v>47048326.504065022</v>
      </c>
      <c r="G209" s="795">
        <f t="shared" si="8"/>
        <v>7427344.3654049356</v>
      </c>
      <c r="H209" s="796">
        <f t="shared" si="9"/>
        <v>7427344.3654049356</v>
      </c>
      <c r="I209" s="793">
        <f t="shared" si="10"/>
        <v>0</v>
      </c>
      <c r="J209" s="793"/>
      <c r="K209" s="813"/>
      <c r="L209" s="797"/>
      <c r="M209" s="813"/>
      <c r="N209" s="797"/>
      <c r="O209" s="797"/>
    </row>
    <row r="210" spans="3:15">
      <c r="C210" s="789">
        <f>IF(D185="","-",+C209+1)</f>
        <v>2033</v>
      </c>
      <c r="D210" s="737">
        <f t="shared" si="6"/>
        <v>47048326.504065022</v>
      </c>
      <c r="E210" s="790">
        <f t="shared" si="11"/>
        <v>2075661.4634146341</v>
      </c>
      <c r="F210" s="737">
        <f t="shared" si="7"/>
        <v>44972665.04065039</v>
      </c>
      <c r="G210" s="795">
        <f t="shared" si="8"/>
        <v>7196336.4703549929</v>
      </c>
      <c r="H210" s="796">
        <f t="shared" si="9"/>
        <v>7196336.4703549929</v>
      </c>
      <c r="I210" s="793">
        <f t="shared" si="10"/>
        <v>0</v>
      </c>
      <c r="J210" s="793"/>
      <c r="K210" s="813"/>
      <c r="L210" s="797"/>
      <c r="M210" s="813"/>
      <c r="N210" s="797"/>
      <c r="O210" s="797"/>
    </row>
    <row r="211" spans="3:15">
      <c r="C211" s="789">
        <f>IF(D185="","-",+C210+1)</f>
        <v>2034</v>
      </c>
      <c r="D211" s="737">
        <f t="shared" si="6"/>
        <v>44972665.04065039</v>
      </c>
      <c r="E211" s="790">
        <f t="shared" si="11"/>
        <v>2075661.4634146341</v>
      </c>
      <c r="F211" s="737">
        <f t="shared" si="7"/>
        <v>42897003.577235758</v>
      </c>
      <c r="G211" s="795">
        <f t="shared" si="8"/>
        <v>6965328.575305054</v>
      </c>
      <c r="H211" s="796">
        <f t="shared" si="9"/>
        <v>6965328.575305054</v>
      </c>
      <c r="I211" s="793">
        <f t="shared" si="10"/>
        <v>0</v>
      </c>
      <c r="J211" s="793"/>
      <c r="K211" s="813"/>
      <c r="L211" s="797"/>
      <c r="M211" s="813"/>
      <c r="N211" s="797"/>
      <c r="O211" s="797"/>
    </row>
    <row r="212" spans="3:15">
      <c r="C212" s="789">
        <f>IF(D185="","-",+C211+1)</f>
        <v>2035</v>
      </c>
      <c r="D212" s="737">
        <f t="shared" si="6"/>
        <v>42897003.577235758</v>
      </c>
      <c r="E212" s="790">
        <f t="shared" si="11"/>
        <v>2075661.4634146341</v>
      </c>
      <c r="F212" s="737">
        <f t="shared" si="7"/>
        <v>40821342.113821127</v>
      </c>
      <c r="G212" s="795">
        <f t="shared" si="8"/>
        <v>6734320.6802551113</v>
      </c>
      <c r="H212" s="796">
        <f t="shared" si="9"/>
        <v>6734320.6802551113</v>
      </c>
      <c r="I212" s="793">
        <f t="shared" si="10"/>
        <v>0</v>
      </c>
      <c r="J212" s="793"/>
      <c r="K212" s="813"/>
      <c r="L212" s="797"/>
      <c r="M212" s="813"/>
      <c r="N212" s="797"/>
      <c r="O212" s="797"/>
    </row>
    <row r="213" spans="3:15">
      <c r="C213" s="789">
        <f>IF(D185="","-",+C212+1)</f>
        <v>2036</v>
      </c>
      <c r="D213" s="737">
        <f t="shared" si="6"/>
        <v>40821342.113821127</v>
      </c>
      <c r="E213" s="790">
        <f t="shared" si="11"/>
        <v>2075661.4634146341</v>
      </c>
      <c r="F213" s="737">
        <f t="shared" si="7"/>
        <v>38745680.650406495</v>
      </c>
      <c r="G213" s="795">
        <f t="shared" si="8"/>
        <v>6503312.7852051724</v>
      </c>
      <c r="H213" s="796">
        <f t="shared" si="9"/>
        <v>6503312.7852051724</v>
      </c>
      <c r="I213" s="793">
        <f t="shared" si="10"/>
        <v>0</v>
      </c>
      <c r="J213" s="793"/>
      <c r="K213" s="813"/>
      <c r="L213" s="797"/>
      <c r="M213" s="813"/>
      <c r="N213" s="797"/>
      <c r="O213" s="797"/>
    </row>
    <row r="214" spans="3:15">
      <c r="C214" s="789">
        <f>IF(D185="","-",+C213+1)</f>
        <v>2037</v>
      </c>
      <c r="D214" s="737">
        <f t="shared" si="6"/>
        <v>38745680.650406495</v>
      </c>
      <c r="E214" s="790">
        <f t="shared" si="11"/>
        <v>2075661.4634146341</v>
      </c>
      <c r="F214" s="737">
        <f t="shared" si="7"/>
        <v>36670019.186991863</v>
      </c>
      <c r="G214" s="795">
        <f t="shared" si="8"/>
        <v>6272304.8901552297</v>
      </c>
      <c r="H214" s="796">
        <f t="shared" si="9"/>
        <v>6272304.8901552297</v>
      </c>
      <c r="I214" s="793">
        <f t="shared" si="10"/>
        <v>0</v>
      </c>
      <c r="J214" s="793"/>
      <c r="K214" s="813"/>
      <c r="L214" s="797"/>
      <c r="M214" s="813"/>
      <c r="N214" s="797"/>
      <c r="O214" s="797"/>
    </row>
    <row r="215" spans="3:15">
      <c r="C215" s="789">
        <f>IF(D185="","-",+C214+1)</f>
        <v>2038</v>
      </c>
      <c r="D215" s="737">
        <f t="shared" si="6"/>
        <v>36670019.186991863</v>
      </c>
      <c r="E215" s="790">
        <f t="shared" si="11"/>
        <v>2075661.4634146341</v>
      </c>
      <c r="F215" s="737">
        <f t="shared" si="7"/>
        <v>34594357.723577231</v>
      </c>
      <c r="G215" s="795">
        <f t="shared" si="8"/>
        <v>6041296.9951052908</v>
      </c>
      <c r="H215" s="796">
        <f t="shared" si="9"/>
        <v>6041296.9951052908</v>
      </c>
      <c r="I215" s="793">
        <f t="shared" si="10"/>
        <v>0</v>
      </c>
      <c r="J215" s="793"/>
      <c r="K215" s="813"/>
      <c r="L215" s="797"/>
      <c r="M215" s="813"/>
      <c r="N215" s="797"/>
      <c r="O215" s="797"/>
    </row>
    <row r="216" spans="3:15">
      <c r="C216" s="789">
        <f>IF(D185="","-",+C215+1)</f>
        <v>2039</v>
      </c>
      <c r="D216" s="737">
        <f t="shared" si="6"/>
        <v>34594357.723577231</v>
      </c>
      <c r="E216" s="790">
        <f t="shared" si="11"/>
        <v>2075661.4634146341</v>
      </c>
      <c r="F216" s="737">
        <f t="shared" si="7"/>
        <v>32518696.260162596</v>
      </c>
      <c r="G216" s="795">
        <f t="shared" si="8"/>
        <v>5810289.1000553481</v>
      </c>
      <c r="H216" s="796">
        <f t="shared" si="9"/>
        <v>5810289.1000553481</v>
      </c>
      <c r="I216" s="793">
        <f t="shared" si="10"/>
        <v>0</v>
      </c>
      <c r="J216" s="793"/>
      <c r="K216" s="813"/>
      <c r="L216" s="797"/>
      <c r="M216" s="813"/>
      <c r="N216" s="797"/>
      <c r="O216" s="797"/>
    </row>
    <row r="217" spans="3:15">
      <c r="C217" s="789">
        <f>IF(D185="","-",+C216+1)</f>
        <v>2040</v>
      </c>
      <c r="D217" s="737">
        <f t="shared" si="6"/>
        <v>32518696.260162596</v>
      </c>
      <c r="E217" s="790">
        <f t="shared" si="11"/>
        <v>2075661.4634146341</v>
      </c>
      <c r="F217" s="737">
        <f t="shared" si="7"/>
        <v>30443034.79674796</v>
      </c>
      <c r="G217" s="795">
        <f t="shared" si="8"/>
        <v>5579281.2050054073</v>
      </c>
      <c r="H217" s="796">
        <f t="shared" si="9"/>
        <v>5579281.2050054073</v>
      </c>
      <c r="I217" s="793">
        <f t="shared" si="10"/>
        <v>0</v>
      </c>
      <c r="J217" s="793"/>
      <c r="K217" s="813"/>
      <c r="L217" s="797"/>
      <c r="M217" s="813"/>
      <c r="N217" s="797"/>
      <c r="O217" s="797"/>
    </row>
    <row r="218" spans="3:15">
      <c r="C218" s="789">
        <f>IF(D185="","-",+C217+1)</f>
        <v>2041</v>
      </c>
      <c r="D218" s="737">
        <f t="shared" si="6"/>
        <v>30443034.79674796</v>
      </c>
      <c r="E218" s="790">
        <f t="shared" si="11"/>
        <v>2075661.4634146341</v>
      </c>
      <c r="F218" s="737">
        <f t="shared" si="7"/>
        <v>28367373.333333325</v>
      </c>
      <c r="G218" s="795">
        <f t="shared" si="8"/>
        <v>5348273.3099554665</v>
      </c>
      <c r="H218" s="796">
        <f t="shared" si="9"/>
        <v>5348273.3099554665</v>
      </c>
      <c r="I218" s="793">
        <f t="shared" si="10"/>
        <v>0</v>
      </c>
      <c r="J218" s="793"/>
      <c r="K218" s="813"/>
      <c r="L218" s="797"/>
      <c r="M218" s="813"/>
      <c r="N218" s="797"/>
      <c r="O218" s="797"/>
    </row>
    <row r="219" spans="3:15">
      <c r="C219" s="789">
        <f>IF(D185="","-",+C218+1)</f>
        <v>2042</v>
      </c>
      <c r="D219" s="737">
        <f t="shared" si="6"/>
        <v>28367373.333333325</v>
      </c>
      <c r="E219" s="790">
        <f t="shared" si="11"/>
        <v>2075661.4634146341</v>
      </c>
      <c r="F219" s="737">
        <f t="shared" si="7"/>
        <v>26291711.869918689</v>
      </c>
      <c r="G219" s="791">
        <f t="shared" si="8"/>
        <v>5117265.4149055248</v>
      </c>
      <c r="H219" s="796">
        <f t="shared" si="9"/>
        <v>5117265.4149055248</v>
      </c>
      <c r="I219" s="793">
        <f t="shared" si="10"/>
        <v>0</v>
      </c>
      <c r="J219" s="793"/>
      <c r="K219" s="813"/>
      <c r="L219" s="797"/>
      <c r="M219" s="813"/>
      <c r="N219" s="797"/>
      <c r="O219" s="797"/>
    </row>
    <row r="220" spans="3:15">
      <c r="C220" s="789">
        <f>IF(D185="","-",+C219+1)</f>
        <v>2043</v>
      </c>
      <c r="D220" s="737">
        <f t="shared" si="6"/>
        <v>26291711.869918689</v>
      </c>
      <c r="E220" s="790">
        <f t="shared" si="11"/>
        <v>2075661.4634146341</v>
      </c>
      <c r="F220" s="737">
        <f t="shared" si="7"/>
        <v>24216050.406504054</v>
      </c>
      <c r="G220" s="795">
        <f t="shared" si="8"/>
        <v>4886257.5198555831</v>
      </c>
      <c r="H220" s="796">
        <f t="shared" si="9"/>
        <v>4886257.5198555831</v>
      </c>
      <c r="I220" s="793">
        <f t="shared" si="10"/>
        <v>0</v>
      </c>
      <c r="J220" s="793"/>
      <c r="K220" s="813"/>
      <c r="L220" s="797"/>
      <c r="M220" s="813"/>
      <c r="N220" s="797"/>
      <c r="O220" s="797"/>
    </row>
    <row r="221" spans="3:15">
      <c r="C221" s="789">
        <f>IF(D185="","-",+C220+1)</f>
        <v>2044</v>
      </c>
      <c r="D221" s="737">
        <f t="shared" si="6"/>
        <v>24216050.406504054</v>
      </c>
      <c r="E221" s="790">
        <f t="shared" si="11"/>
        <v>2075661.4634146341</v>
      </c>
      <c r="F221" s="737">
        <f t="shared" si="7"/>
        <v>22140388.943089418</v>
      </c>
      <c r="G221" s="795">
        <f t="shared" si="8"/>
        <v>4655249.6248056423</v>
      </c>
      <c r="H221" s="796">
        <f t="shared" si="9"/>
        <v>4655249.6248056423</v>
      </c>
      <c r="I221" s="793">
        <f t="shared" si="10"/>
        <v>0</v>
      </c>
      <c r="J221" s="793"/>
      <c r="K221" s="813"/>
      <c r="L221" s="797"/>
      <c r="M221" s="813"/>
      <c r="N221" s="797"/>
      <c r="O221" s="797"/>
    </row>
    <row r="222" spans="3:15">
      <c r="C222" s="789">
        <f>IF(D185="","-",+C221+1)</f>
        <v>2045</v>
      </c>
      <c r="D222" s="737">
        <f t="shared" si="6"/>
        <v>22140388.943089418</v>
      </c>
      <c r="E222" s="790">
        <f t="shared" si="11"/>
        <v>2075661.4634146341</v>
      </c>
      <c r="F222" s="737">
        <f t="shared" si="7"/>
        <v>20064727.479674783</v>
      </c>
      <c r="G222" s="795">
        <f t="shared" si="8"/>
        <v>4424241.7297557006</v>
      </c>
      <c r="H222" s="796">
        <f t="shared" si="9"/>
        <v>4424241.7297557006</v>
      </c>
      <c r="I222" s="793">
        <f t="shared" si="10"/>
        <v>0</v>
      </c>
      <c r="J222" s="793"/>
      <c r="K222" s="813"/>
      <c r="L222" s="797"/>
      <c r="M222" s="813"/>
      <c r="N222" s="797"/>
      <c r="O222" s="797"/>
    </row>
    <row r="223" spans="3:15">
      <c r="C223" s="789">
        <f>IF(D185="","-",+C222+1)</f>
        <v>2046</v>
      </c>
      <c r="D223" s="737">
        <f t="shared" si="6"/>
        <v>20064727.479674783</v>
      </c>
      <c r="E223" s="790">
        <f t="shared" si="11"/>
        <v>2075661.4634146341</v>
      </c>
      <c r="F223" s="737">
        <f t="shared" si="7"/>
        <v>17989066.016260147</v>
      </c>
      <c r="G223" s="795">
        <f t="shared" si="8"/>
        <v>4193233.8347057598</v>
      </c>
      <c r="H223" s="796">
        <f t="shared" si="9"/>
        <v>4193233.8347057598</v>
      </c>
      <c r="I223" s="793">
        <f t="shared" si="10"/>
        <v>0</v>
      </c>
      <c r="J223" s="793"/>
      <c r="K223" s="813"/>
      <c r="L223" s="797"/>
      <c r="M223" s="813"/>
      <c r="N223" s="797"/>
      <c r="O223" s="797"/>
    </row>
    <row r="224" spans="3:15">
      <c r="C224" s="789">
        <f>IF(D185="","-",+C223+1)</f>
        <v>2047</v>
      </c>
      <c r="D224" s="737">
        <f t="shared" si="6"/>
        <v>17989066.016260147</v>
      </c>
      <c r="E224" s="790">
        <f t="shared" si="11"/>
        <v>2075661.4634146341</v>
      </c>
      <c r="F224" s="737">
        <f t="shared" si="7"/>
        <v>15913404.552845513</v>
      </c>
      <c r="G224" s="795">
        <f t="shared" si="8"/>
        <v>3962225.9396558185</v>
      </c>
      <c r="H224" s="796">
        <f t="shared" si="9"/>
        <v>3962225.9396558185</v>
      </c>
      <c r="I224" s="793">
        <f t="shared" si="10"/>
        <v>0</v>
      </c>
      <c r="J224" s="793"/>
      <c r="K224" s="813"/>
      <c r="L224" s="797"/>
      <c r="M224" s="813"/>
      <c r="N224" s="797"/>
      <c r="O224" s="797"/>
    </row>
    <row r="225" spans="3:15">
      <c r="C225" s="789">
        <f>IF(D185="","-",+C224+1)</f>
        <v>2048</v>
      </c>
      <c r="D225" s="737">
        <f t="shared" si="6"/>
        <v>15913404.552845513</v>
      </c>
      <c r="E225" s="790">
        <f t="shared" si="11"/>
        <v>2075661.4634146341</v>
      </c>
      <c r="F225" s="737">
        <f t="shared" si="7"/>
        <v>13837743.08943088</v>
      </c>
      <c r="G225" s="795">
        <f t="shared" si="8"/>
        <v>3731218.0446058773</v>
      </c>
      <c r="H225" s="796">
        <f t="shared" si="9"/>
        <v>3731218.0446058773</v>
      </c>
      <c r="I225" s="793">
        <f t="shared" si="10"/>
        <v>0</v>
      </c>
      <c r="J225" s="793"/>
      <c r="K225" s="813"/>
      <c r="L225" s="797"/>
      <c r="M225" s="813"/>
      <c r="N225" s="797"/>
      <c r="O225" s="797"/>
    </row>
    <row r="226" spans="3:15">
      <c r="C226" s="789">
        <f>IF(D185="","-",+C225+1)</f>
        <v>2049</v>
      </c>
      <c r="D226" s="737">
        <f t="shared" si="6"/>
        <v>13837743.08943088</v>
      </c>
      <c r="E226" s="790">
        <f t="shared" si="11"/>
        <v>2075661.4634146341</v>
      </c>
      <c r="F226" s="737">
        <f t="shared" si="7"/>
        <v>11762081.626016246</v>
      </c>
      <c r="G226" s="795">
        <f t="shared" si="8"/>
        <v>3500210.1495559365</v>
      </c>
      <c r="H226" s="796">
        <f t="shared" si="9"/>
        <v>3500210.1495559365</v>
      </c>
      <c r="I226" s="793">
        <f t="shared" si="10"/>
        <v>0</v>
      </c>
      <c r="J226" s="793"/>
      <c r="K226" s="813"/>
      <c r="L226" s="797"/>
      <c r="M226" s="813"/>
      <c r="N226" s="797"/>
      <c r="O226" s="797"/>
    </row>
    <row r="227" spans="3:15">
      <c r="C227" s="789">
        <f>IF(D185="","-",+C226+1)</f>
        <v>2050</v>
      </c>
      <c r="D227" s="737">
        <f t="shared" si="6"/>
        <v>11762081.626016246</v>
      </c>
      <c r="E227" s="790">
        <f t="shared" si="11"/>
        <v>2075661.4634146341</v>
      </c>
      <c r="F227" s="737">
        <f t="shared" si="7"/>
        <v>9686420.1626016125</v>
      </c>
      <c r="G227" s="795">
        <f t="shared" si="8"/>
        <v>3269202.2545059947</v>
      </c>
      <c r="H227" s="796">
        <f t="shared" si="9"/>
        <v>3269202.2545059947</v>
      </c>
      <c r="I227" s="793">
        <f t="shared" si="10"/>
        <v>0</v>
      </c>
      <c r="J227" s="793"/>
      <c r="K227" s="813"/>
      <c r="L227" s="797"/>
      <c r="M227" s="813"/>
      <c r="N227" s="797"/>
      <c r="O227" s="797"/>
    </row>
    <row r="228" spans="3:15">
      <c r="C228" s="789">
        <f>IF(D185="","-",+C227+1)</f>
        <v>2051</v>
      </c>
      <c r="D228" s="737">
        <f t="shared" si="6"/>
        <v>9686420.1626016125</v>
      </c>
      <c r="E228" s="790">
        <f t="shared" si="11"/>
        <v>2075661.4634146341</v>
      </c>
      <c r="F228" s="737">
        <f t="shared" si="7"/>
        <v>7610758.6991869789</v>
      </c>
      <c r="G228" s="795">
        <f t="shared" si="8"/>
        <v>3038194.3594560539</v>
      </c>
      <c r="H228" s="796">
        <f t="shared" si="9"/>
        <v>3038194.3594560539</v>
      </c>
      <c r="I228" s="793">
        <f t="shared" si="10"/>
        <v>0</v>
      </c>
      <c r="J228" s="793"/>
      <c r="K228" s="813"/>
      <c r="L228" s="797"/>
      <c r="M228" s="813"/>
      <c r="N228" s="797"/>
      <c r="O228" s="797"/>
    </row>
    <row r="229" spans="3:15">
      <c r="C229" s="789">
        <f>IF(D185="","-",+C228+1)</f>
        <v>2052</v>
      </c>
      <c r="D229" s="737">
        <f t="shared" si="6"/>
        <v>7610758.6991869789</v>
      </c>
      <c r="E229" s="790">
        <f t="shared" si="11"/>
        <v>2075661.4634146341</v>
      </c>
      <c r="F229" s="737">
        <f t="shared" si="7"/>
        <v>5535097.2357723452</v>
      </c>
      <c r="G229" s="795">
        <f t="shared" si="8"/>
        <v>2807186.4644061131</v>
      </c>
      <c r="H229" s="796">
        <f t="shared" si="9"/>
        <v>2807186.4644061131</v>
      </c>
      <c r="I229" s="793">
        <f t="shared" si="10"/>
        <v>0</v>
      </c>
      <c r="J229" s="793"/>
      <c r="K229" s="813"/>
      <c r="L229" s="797"/>
      <c r="M229" s="813"/>
      <c r="N229" s="797"/>
      <c r="O229" s="797"/>
    </row>
    <row r="230" spans="3:15">
      <c r="C230" s="789">
        <f>IF(D185="","-",+C229+1)</f>
        <v>2053</v>
      </c>
      <c r="D230" s="737">
        <f t="shared" si="6"/>
        <v>5535097.2357723452</v>
      </c>
      <c r="E230" s="790">
        <f t="shared" si="11"/>
        <v>2075661.4634146341</v>
      </c>
      <c r="F230" s="737">
        <f t="shared" si="7"/>
        <v>3459435.7723577111</v>
      </c>
      <c r="G230" s="795">
        <f t="shared" si="8"/>
        <v>2576178.5693561719</v>
      </c>
      <c r="H230" s="796">
        <f t="shared" si="9"/>
        <v>2576178.5693561719</v>
      </c>
      <c r="I230" s="793">
        <f t="shared" si="10"/>
        <v>0</v>
      </c>
      <c r="J230" s="793"/>
      <c r="K230" s="813"/>
      <c r="L230" s="797"/>
      <c r="M230" s="813"/>
      <c r="N230" s="797"/>
      <c r="O230" s="797"/>
    </row>
    <row r="231" spans="3:15">
      <c r="C231" s="789">
        <f>IF(D185="","-",+C230+1)</f>
        <v>2054</v>
      </c>
      <c r="D231" s="737">
        <f t="shared" si="6"/>
        <v>3459435.7723577111</v>
      </c>
      <c r="E231" s="790">
        <f t="shared" si="11"/>
        <v>2075661.4634146341</v>
      </c>
      <c r="F231" s="737">
        <f t="shared" si="7"/>
        <v>1383774.308943077</v>
      </c>
      <c r="G231" s="795">
        <f t="shared" si="8"/>
        <v>2345170.6743062306</v>
      </c>
      <c r="H231" s="796">
        <f t="shared" si="9"/>
        <v>2345170.6743062306</v>
      </c>
      <c r="I231" s="793">
        <f t="shared" si="10"/>
        <v>0</v>
      </c>
      <c r="J231" s="793"/>
      <c r="K231" s="813"/>
      <c r="L231" s="797"/>
      <c r="M231" s="813"/>
      <c r="N231" s="797"/>
      <c r="O231" s="797"/>
    </row>
    <row r="232" spans="3:15">
      <c r="C232" s="789">
        <f>IF(D185="","-",+C231+1)</f>
        <v>2055</v>
      </c>
      <c r="D232" s="737">
        <f t="shared" si="6"/>
        <v>1383774.308943077</v>
      </c>
      <c r="E232" s="790">
        <f t="shared" si="11"/>
        <v>1383774.308943077</v>
      </c>
      <c r="F232" s="737">
        <f t="shared" si="7"/>
        <v>0</v>
      </c>
      <c r="G232" s="795">
        <f t="shared" si="8"/>
        <v>1460776.94062639</v>
      </c>
      <c r="H232" s="796">
        <f t="shared" si="9"/>
        <v>1460776.94062639</v>
      </c>
      <c r="I232" s="793">
        <f t="shared" si="10"/>
        <v>0</v>
      </c>
      <c r="J232" s="793"/>
      <c r="K232" s="813"/>
      <c r="L232" s="797"/>
      <c r="M232" s="813"/>
      <c r="N232" s="797"/>
      <c r="O232" s="797"/>
    </row>
    <row r="233" spans="3:15">
      <c r="C233" s="789">
        <f>IF(D185="","-",+C232+1)</f>
        <v>2056</v>
      </c>
      <c r="D233" s="737">
        <f t="shared" si="6"/>
        <v>0</v>
      </c>
      <c r="E233" s="790">
        <f t="shared" si="11"/>
        <v>0</v>
      </c>
      <c r="F233" s="737">
        <f t="shared" si="7"/>
        <v>0</v>
      </c>
      <c r="G233" s="795">
        <f t="shared" si="8"/>
        <v>0</v>
      </c>
      <c r="H233" s="796">
        <f t="shared" si="9"/>
        <v>0</v>
      </c>
      <c r="I233" s="793">
        <f t="shared" si="10"/>
        <v>0</v>
      </c>
      <c r="J233" s="793"/>
      <c r="K233" s="813"/>
      <c r="L233" s="797"/>
      <c r="M233" s="813"/>
      <c r="N233" s="797"/>
      <c r="O233" s="797"/>
    </row>
    <row r="234" spans="3:15">
      <c r="C234" s="789">
        <f>IF(D185="","-",+C233+1)</f>
        <v>2057</v>
      </c>
      <c r="D234" s="737">
        <f t="shared" si="6"/>
        <v>0</v>
      </c>
      <c r="E234" s="790">
        <f t="shared" si="11"/>
        <v>0</v>
      </c>
      <c r="F234" s="737">
        <f t="shared" si="7"/>
        <v>0</v>
      </c>
      <c r="G234" s="795">
        <f t="shared" si="8"/>
        <v>0</v>
      </c>
      <c r="H234" s="796">
        <f t="shared" si="9"/>
        <v>0</v>
      </c>
      <c r="I234" s="793">
        <f t="shared" si="10"/>
        <v>0</v>
      </c>
      <c r="J234" s="793"/>
      <c r="K234" s="813"/>
      <c r="L234" s="797"/>
      <c r="M234" s="813"/>
      <c r="N234" s="797"/>
      <c r="O234" s="797"/>
    </row>
    <row r="235" spans="3:15">
      <c r="C235" s="789">
        <f>IF(D185="","-",+C234+1)</f>
        <v>2058</v>
      </c>
      <c r="D235" s="737">
        <f t="shared" si="6"/>
        <v>0</v>
      </c>
      <c r="E235" s="790">
        <f t="shared" si="11"/>
        <v>0</v>
      </c>
      <c r="F235" s="737">
        <f t="shared" si="7"/>
        <v>0</v>
      </c>
      <c r="G235" s="795">
        <f t="shared" si="8"/>
        <v>0</v>
      </c>
      <c r="H235" s="796">
        <f t="shared" si="9"/>
        <v>0</v>
      </c>
      <c r="I235" s="793">
        <f t="shared" si="10"/>
        <v>0</v>
      </c>
      <c r="J235" s="793"/>
      <c r="K235" s="813"/>
      <c r="L235" s="797"/>
      <c r="M235" s="813"/>
      <c r="N235" s="797"/>
      <c r="O235" s="797"/>
    </row>
    <row r="236" spans="3:15">
      <c r="C236" s="789">
        <f>IF(D185="","-",+C235+1)</f>
        <v>2059</v>
      </c>
      <c r="D236" s="737">
        <f t="shared" si="6"/>
        <v>0</v>
      </c>
      <c r="E236" s="790">
        <f t="shared" si="11"/>
        <v>0</v>
      </c>
      <c r="F236" s="737">
        <f t="shared" si="7"/>
        <v>0</v>
      </c>
      <c r="G236" s="795">
        <f t="shared" si="8"/>
        <v>0</v>
      </c>
      <c r="H236" s="796">
        <f t="shared" si="9"/>
        <v>0</v>
      </c>
      <c r="I236" s="793">
        <f t="shared" si="10"/>
        <v>0</v>
      </c>
      <c r="J236" s="793"/>
      <c r="K236" s="813"/>
      <c r="L236" s="797"/>
      <c r="M236" s="813"/>
      <c r="N236" s="797"/>
      <c r="O236" s="797"/>
    </row>
    <row r="237" spans="3:15">
      <c r="C237" s="789">
        <f>IF(D185="","-",+C236+1)</f>
        <v>2060</v>
      </c>
      <c r="D237" s="737">
        <f t="shared" si="6"/>
        <v>0</v>
      </c>
      <c r="E237" s="790">
        <f t="shared" si="11"/>
        <v>0</v>
      </c>
      <c r="F237" s="737">
        <f t="shared" si="7"/>
        <v>0</v>
      </c>
      <c r="G237" s="795">
        <f t="shared" si="8"/>
        <v>0</v>
      </c>
      <c r="H237" s="796">
        <f t="shared" si="9"/>
        <v>0</v>
      </c>
      <c r="I237" s="793">
        <f t="shared" si="10"/>
        <v>0</v>
      </c>
      <c r="J237" s="793"/>
      <c r="K237" s="813"/>
      <c r="L237" s="797"/>
      <c r="M237" s="813"/>
      <c r="N237" s="797"/>
      <c r="O237" s="797"/>
    </row>
    <row r="238" spans="3:15">
      <c r="C238" s="789">
        <f>IF(D185="","-",+C237+1)</f>
        <v>2061</v>
      </c>
      <c r="D238" s="737">
        <f t="shared" si="6"/>
        <v>0</v>
      </c>
      <c r="E238" s="790">
        <f t="shared" si="11"/>
        <v>0</v>
      </c>
      <c r="F238" s="737">
        <f t="shared" si="7"/>
        <v>0</v>
      </c>
      <c r="G238" s="795">
        <f t="shared" si="8"/>
        <v>0</v>
      </c>
      <c r="H238" s="796">
        <f t="shared" si="9"/>
        <v>0</v>
      </c>
      <c r="I238" s="793">
        <f t="shared" si="10"/>
        <v>0</v>
      </c>
      <c r="J238" s="793"/>
      <c r="K238" s="813"/>
      <c r="L238" s="797"/>
      <c r="M238" s="813"/>
      <c r="N238" s="797"/>
      <c r="O238" s="797"/>
    </row>
    <row r="239" spans="3:15">
      <c r="C239" s="789">
        <f>IF(D185="","-",+C238+1)</f>
        <v>2062</v>
      </c>
      <c r="D239" s="737">
        <f t="shared" si="6"/>
        <v>0</v>
      </c>
      <c r="E239" s="790">
        <f t="shared" si="11"/>
        <v>0</v>
      </c>
      <c r="F239" s="737">
        <f t="shared" si="7"/>
        <v>0</v>
      </c>
      <c r="G239" s="795">
        <f t="shared" si="8"/>
        <v>0</v>
      </c>
      <c r="H239" s="796">
        <f t="shared" si="9"/>
        <v>0</v>
      </c>
      <c r="I239" s="793">
        <f t="shared" si="10"/>
        <v>0</v>
      </c>
      <c r="J239" s="793"/>
      <c r="K239" s="813"/>
      <c r="L239" s="797"/>
      <c r="M239" s="813"/>
      <c r="N239" s="797"/>
      <c r="O239" s="797"/>
    </row>
    <row r="240" spans="3:15">
      <c r="C240" s="789">
        <f>IF(D185="","-",+C239+1)</f>
        <v>2063</v>
      </c>
      <c r="D240" s="737">
        <f t="shared" si="6"/>
        <v>0</v>
      </c>
      <c r="E240" s="790">
        <f t="shared" si="11"/>
        <v>0</v>
      </c>
      <c r="F240" s="737">
        <f t="shared" si="7"/>
        <v>0</v>
      </c>
      <c r="G240" s="795">
        <f t="shared" si="8"/>
        <v>0</v>
      </c>
      <c r="H240" s="796">
        <f t="shared" si="9"/>
        <v>0</v>
      </c>
      <c r="I240" s="793">
        <f t="shared" si="10"/>
        <v>0</v>
      </c>
      <c r="J240" s="793"/>
      <c r="K240" s="813"/>
      <c r="L240" s="797"/>
      <c r="M240" s="813"/>
      <c r="N240" s="797"/>
      <c r="O240" s="797"/>
    </row>
    <row r="241" spans="3:15">
      <c r="C241" s="789">
        <f>IF(D185="","-",+C240+1)</f>
        <v>2064</v>
      </c>
      <c r="D241" s="737">
        <f t="shared" si="6"/>
        <v>0</v>
      </c>
      <c r="E241" s="790">
        <f t="shared" si="11"/>
        <v>0</v>
      </c>
      <c r="F241" s="737">
        <f t="shared" si="7"/>
        <v>0</v>
      </c>
      <c r="G241" s="795">
        <f t="shared" si="8"/>
        <v>0</v>
      </c>
      <c r="H241" s="796">
        <f t="shared" si="9"/>
        <v>0</v>
      </c>
      <c r="I241" s="793">
        <f t="shared" si="10"/>
        <v>0</v>
      </c>
      <c r="J241" s="793"/>
      <c r="K241" s="813"/>
      <c r="L241" s="797"/>
      <c r="M241" s="813"/>
      <c r="N241" s="797"/>
      <c r="O241" s="797"/>
    </row>
    <row r="242" spans="3:15">
      <c r="C242" s="789">
        <f>IF(D185="","-",+C241+1)</f>
        <v>2065</v>
      </c>
      <c r="D242" s="737">
        <f t="shared" si="6"/>
        <v>0</v>
      </c>
      <c r="E242" s="790">
        <f t="shared" si="11"/>
        <v>0</v>
      </c>
      <c r="F242" s="737">
        <f t="shared" si="7"/>
        <v>0</v>
      </c>
      <c r="G242" s="795">
        <f t="shared" si="8"/>
        <v>0</v>
      </c>
      <c r="H242" s="796">
        <f t="shared" si="9"/>
        <v>0</v>
      </c>
      <c r="I242" s="793">
        <f t="shared" si="10"/>
        <v>0</v>
      </c>
      <c r="J242" s="793"/>
      <c r="K242" s="813"/>
      <c r="L242" s="797"/>
      <c r="M242" s="813"/>
      <c r="N242" s="797"/>
      <c r="O242" s="797"/>
    </row>
    <row r="243" spans="3:15">
      <c r="C243" s="789">
        <f>IF(D185="","-",+C242+1)</f>
        <v>2066</v>
      </c>
      <c r="D243" s="737">
        <f t="shared" si="6"/>
        <v>0</v>
      </c>
      <c r="E243" s="790">
        <f t="shared" si="11"/>
        <v>0</v>
      </c>
      <c r="F243" s="737">
        <f t="shared" si="7"/>
        <v>0</v>
      </c>
      <c r="G243" s="795">
        <f t="shared" si="8"/>
        <v>0</v>
      </c>
      <c r="H243" s="796">
        <f t="shared" si="9"/>
        <v>0</v>
      </c>
      <c r="I243" s="793">
        <f t="shared" si="10"/>
        <v>0</v>
      </c>
      <c r="J243" s="793"/>
      <c r="K243" s="813"/>
      <c r="L243" s="797"/>
      <c r="M243" s="813"/>
      <c r="N243" s="797"/>
      <c r="O243" s="797"/>
    </row>
    <row r="244" spans="3:15">
      <c r="C244" s="789">
        <f>IF(D185="","-",+C243+1)</f>
        <v>2067</v>
      </c>
      <c r="D244" s="737">
        <f t="shared" si="6"/>
        <v>0</v>
      </c>
      <c r="E244" s="790">
        <f t="shared" si="11"/>
        <v>0</v>
      </c>
      <c r="F244" s="737">
        <f t="shared" si="7"/>
        <v>0</v>
      </c>
      <c r="G244" s="795">
        <f t="shared" si="8"/>
        <v>0</v>
      </c>
      <c r="H244" s="796">
        <f t="shared" si="9"/>
        <v>0</v>
      </c>
      <c r="I244" s="793">
        <f t="shared" si="10"/>
        <v>0</v>
      </c>
      <c r="J244" s="793"/>
      <c r="K244" s="813"/>
      <c r="L244" s="797"/>
      <c r="M244" s="813"/>
      <c r="N244" s="797"/>
      <c r="O244" s="797"/>
    </row>
    <row r="245" spans="3:15">
      <c r="C245" s="789">
        <f>IF(D185="","-",+C244+1)</f>
        <v>2068</v>
      </c>
      <c r="D245" s="737">
        <f t="shared" si="6"/>
        <v>0</v>
      </c>
      <c r="E245" s="790">
        <f t="shared" si="11"/>
        <v>0</v>
      </c>
      <c r="F245" s="737">
        <f t="shared" si="7"/>
        <v>0</v>
      </c>
      <c r="G245" s="795">
        <f t="shared" si="8"/>
        <v>0</v>
      </c>
      <c r="H245" s="796">
        <f t="shared" si="9"/>
        <v>0</v>
      </c>
      <c r="I245" s="793">
        <f t="shared" si="10"/>
        <v>0</v>
      </c>
      <c r="J245" s="793"/>
      <c r="K245" s="813"/>
      <c r="L245" s="797"/>
      <c r="M245" s="813"/>
      <c r="N245" s="797"/>
      <c r="O245" s="797"/>
    </row>
    <row r="246" spans="3:15">
      <c r="C246" s="789">
        <f>IF(D185="","-",+C245+1)</f>
        <v>2069</v>
      </c>
      <c r="D246" s="737">
        <f t="shared" si="6"/>
        <v>0</v>
      </c>
      <c r="E246" s="790">
        <f t="shared" si="11"/>
        <v>0</v>
      </c>
      <c r="F246" s="737">
        <f t="shared" si="7"/>
        <v>0</v>
      </c>
      <c r="G246" s="795">
        <f t="shared" si="8"/>
        <v>0</v>
      </c>
      <c r="H246" s="796">
        <f t="shared" si="9"/>
        <v>0</v>
      </c>
      <c r="I246" s="793">
        <f t="shared" si="10"/>
        <v>0</v>
      </c>
      <c r="J246" s="793"/>
      <c r="K246" s="813"/>
      <c r="L246" s="797"/>
      <c r="M246" s="813"/>
      <c r="N246" s="797"/>
      <c r="O246" s="797"/>
    </row>
    <row r="247" spans="3:15">
      <c r="C247" s="789">
        <f>IF(D185="","-",+C246+1)</f>
        <v>2070</v>
      </c>
      <c r="D247" s="737">
        <f t="shared" si="6"/>
        <v>0</v>
      </c>
      <c r="E247" s="790">
        <f t="shared" si="11"/>
        <v>0</v>
      </c>
      <c r="F247" s="737">
        <f t="shared" si="7"/>
        <v>0</v>
      </c>
      <c r="G247" s="795">
        <f t="shared" si="8"/>
        <v>0</v>
      </c>
      <c r="H247" s="796">
        <f t="shared" si="9"/>
        <v>0</v>
      </c>
      <c r="I247" s="793">
        <f t="shared" si="10"/>
        <v>0</v>
      </c>
      <c r="J247" s="793"/>
      <c r="K247" s="813"/>
      <c r="L247" s="797"/>
      <c r="M247" s="813"/>
      <c r="N247" s="797"/>
      <c r="O247" s="797"/>
    </row>
    <row r="248" spans="3:15">
      <c r="C248" s="789">
        <f>IF(D185="","-",+C247+1)</f>
        <v>2071</v>
      </c>
      <c r="D248" s="737">
        <f t="shared" si="6"/>
        <v>0</v>
      </c>
      <c r="E248" s="790">
        <f t="shared" si="11"/>
        <v>0</v>
      </c>
      <c r="F248" s="737">
        <f t="shared" si="7"/>
        <v>0</v>
      </c>
      <c r="G248" s="795">
        <f t="shared" si="8"/>
        <v>0</v>
      </c>
      <c r="H248" s="796">
        <f t="shared" si="9"/>
        <v>0</v>
      </c>
      <c r="I248" s="793">
        <f t="shared" si="10"/>
        <v>0</v>
      </c>
      <c r="J248" s="793"/>
      <c r="K248" s="813"/>
      <c r="L248" s="797"/>
      <c r="M248" s="813"/>
      <c r="N248" s="797"/>
      <c r="O248" s="797"/>
    </row>
    <row r="249" spans="3:15">
      <c r="C249" s="789">
        <f>IF(D185="","-",+C248+1)</f>
        <v>2072</v>
      </c>
      <c r="D249" s="737">
        <f t="shared" si="6"/>
        <v>0</v>
      </c>
      <c r="E249" s="790">
        <f t="shared" si="11"/>
        <v>0</v>
      </c>
      <c r="F249" s="737">
        <f t="shared" si="7"/>
        <v>0</v>
      </c>
      <c r="G249" s="795">
        <f t="shared" si="8"/>
        <v>0</v>
      </c>
      <c r="H249" s="796">
        <f t="shared" si="9"/>
        <v>0</v>
      </c>
      <c r="I249" s="793">
        <f t="shared" si="10"/>
        <v>0</v>
      </c>
      <c r="J249" s="793"/>
      <c r="K249" s="813"/>
      <c r="L249" s="797"/>
      <c r="M249" s="813"/>
      <c r="N249" s="797"/>
      <c r="O249" s="797"/>
    </row>
    <row r="250" spans="3:15" ht="13.5" thickBot="1">
      <c r="C250" s="799">
        <f>IF(D185="","-",+C249+1)</f>
        <v>2073</v>
      </c>
      <c r="D250" s="800">
        <f t="shared" si="6"/>
        <v>0</v>
      </c>
      <c r="E250" s="801">
        <f t="shared" si="11"/>
        <v>0</v>
      </c>
      <c r="F250" s="800">
        <f t="shared" si="7"/>
        <v>0</v>
      </c>
      <c r="G250" s="802">
        <f t="shared" si="8"/>
        <v>0</v>
      </c>
      <c r="H250" s="802">
        <f t="shared" si="9"/>
        <v>0</v>
      </c>
      <c r="I250" s="803">
        <f t="shared" si="10"/>
        <v>0</v>
      </c>
      <c r="J250" s="793"/>
      <c r="K250" s="814"/>
      <c r="L250" s="804"/>
      <c r="M250" s="814"/>
      <c r="N250" s="804"/>
      <c r="O250" s="804"/>
    </row>
    <row r="251" spans="3:15">
      <c r="C251" s="737" t="s">
        <v>83</v>
      </c>
      <c r="D251" s="731"/>
      <c r="E251" s="731">
        <f>SUM(E191:E250)</f>
        <v>85102120</v>
      </c>
      <c r="F251" s="731"/>
      <c r="G251" s="731">
        <f>SUM(G191:G250)</f>
        <v>285578471.58750713</v>
      </c>
      <c r="H251" s="731">
        <f>SUM(H191:H250)</f>
        <v>285578471.58750713</v>
      </c>
      <c r="I251" s="731">
        <f>SUM(I191:I250)</f>
        <v>0</v>
      </c>
      <c r="J251" s="731"/>
      <c r="K251" s="731"/>
      <c r="L251" s="731"/>
      <c r="M251" s="731"/>
      <c r="N251" s="731"/>
      <c r="O251" s="314"/>
    </row>
    <row r="252" spans="3:15">
      <c r="D252" s="539"/>
      <c r="E252" s="314"/>
      <c r="F252" s="314"/>
      <c r="G252" s="314"/>
      <c r="H252" s="709"/>
      <c r="I252" s="709"/>
      <c r="J252" s="731"/>
      <c r="K252" s="709"/>
      <c r="L252" s="709"/>
      <c r="M252" s="709"/>
      <c r="N252" s="709"/>
      <c r="O252" s="314"/>
    </row>
    <row r="253" spans="3:15">
      <c r="C253" s="314" t="s">
        <v>13</v>
      </c>
      <c r="D253" s="539"/>
      <c r="E253" s="314"/>
      <c r="F253" s="314"/>
      <c r="G253" s="314"/>
      <c r="H253" s="709"/>
      <c r="I253" s="709"/>
      <c r="J253" s="731"/>
      <c r="K253" s="709"/>
      <c r="L253" s="709"/>
      <c r="M253" s="709"/>
      <c r="N253" s="709"/>
      <c r="O253" s="314"/>
    </row>
    <row r="254" spans="3:15">
      <c r="C254" s="314"/>
      <c r="D254" s="539"/>
      <c r="E254" s="314"/>
      <c r="F254" s="314"/>
      <c r="G254" s="314"/>
      <c r="H254" s="709"/>
      <c r="I254" s="709"/>
      <c r="J254" s="731"/>
      <c r="K254" s="709"/>
      <c r="L254" s="709"/>
      <c r="M254" s="709"/>
      <c r="N254" s="709"/>
      <c r="O254" s="314"/>
    </row>
    <row r="255" spans="3:15">
      <c r="C255" s="750" t="s">
        <v>14</v>
      </c>
      <c r="D255" s="737"/>
      <c r="E255" s="737"/>
      <c r="F255" s="737"/>
      <c r="G255" s="731"/>
      <c r="H255" s="731"/>
      <c r="I255" s="805"/>
      <c r="J255" s="805"/>
      <c r="K255" s="805"/>
      <c r="L255" s="805"/>
      <c r="M255" s="805"/>
      <c r="N255" s="805"/>
      <c r="O255" s="314"/>
    </row>
    <row r="256" spans="3:15">
      <c r="C256" s="736" t="s">
        <v>263</v>
      </c>
      <c r="D256" s="737"/>
      <c r="E256" s="737"/>
      <c r="F256" s="737"/>
      <c r="G256" s="731"/>
      <c r="H256" s="731"/>
      <c r="I256" s="805"/>
      <c r="J256" s="805"/>
      <c r="K256" s="805"/>
      <c r="L256" s="805"/>
      <c r="M256" s="805"/>
      <c r="N256" s="805"/>
      <c r="O256" s="314"/>
    </row>
    <row r="257" spans="1:16">
      <c r="C257" s="736" t="s">
        <v>84</v>
      </c>
      <c r="D257" s="737"/>
      <c r="E257" s="737"/>
      <c r="F257" s="737"/>
      <c r="G257" s="731"/>
      <c r="H257" s="731"/>
      <c r="I257" s="805"/>
      <c r="J257" s="805"/>
      <c r="K257" s="805"/>
      <c r="L257" s="805"/>
      <c r="M257" s="805"/>
      <c r="N257" s="805"/>
      <c r="O257" s="314"/>
    </row>
    <row r="258" spans="1:16">
      <c r="C258" s="736"/>
      <c r="D258" s="737"/>
      <c r="E258" s="737"/>
      <c r="F258" s="737"/>
      <c r="G258" s="731"/>
      <c r="H258" s="731"/>
      <c r="I258" s="805"/>
      <c r="J258" s="805"/>
      <c r="K258" s="805"/>
      <c r="L258" s="805"/>
      <c r="M258" s="805"/>
      <c r="N258" s="805"/>
      <c r="O258" s="314"/>
    </row>
    <row r="259" spans="1:16">
      <c r="C259" s="1568" t="s">
        <v>6</v>
      </c>
      <c r="D259" s="1568"/>
      <c r="E259" s="1568"/>
      <c r="F259" s="1568"/>
      <c r="G259" s="1568"/>
      <c r="H259" s="1568"/>
      <c r="I259" s="1568"/>
      <c r="J259" s="1568"/>
      <c r="K259" s="1568"/>
      <c r="L259" s="1568"/>
      <c r="M259" s="1568"/>
      <c r="N259" s="1568"/>
      <c r="O259" s="1568"/>
    </row>
    <row r="260" spans="1:16">
      <c r="C260" s="1568"/>
      <c r="D260" s="1568"/>
      <c r="E260" s="1568"/>
      <c r="F260" s="1568"/>
      <c r="G260" s="1568"/>
      <c r="H260" s="1568"/>
      <c r="I260" s="1568"/>
      <c r="J260" s="1568"/>
      <c r="K260" s="1568"/>
      <c r="L260" s="1568"/>
      <c r="M260" s="1568"/>
      <c r="N260" s="1568"/>
      <c r="O260" s="1568"/>
    </row>
    <row r="261" spans="1:16">
      <c r="C261" s="736"/>
      <c r="D261" s="737"/>
      <c r="E261" s="737"/>
      <c r="F261" s="737"/>
      <c r="G261" s="731"/>
      <c r="H261" s="731"/>
    </row>
    <row r="262" spans="1:16" ht="20.25">
      <c r="A262" s="738" t="str">
        <f>""&amp;A186&amp;" Worksheet J -  ATRR PROJECTED Calculation for PJM Projects Charged to Benefiting Zones"</f>
        <v xml:space="preserve"> Worksheet J -  ATRR PROJECTED Calculation for PJM Projects Charged to Benefiting Zones</v>
      </c>
      <c r="B262" s="348"/>
      <c r="C262" s="726"/>
      <c r="D262" s="539"/>
      <c r="E262" s="314"/>
      <c r="F262" s="708"/>
      <c r="G262" s="314"/>
      <c r="H262" s="709"/>
      <c r="K262" s="565"/>
      <c r="L262" s="565"/>
      <c r="M262" s="565"/>
      <c r="N262" s="654" t="str">
        <f>"Page "&amp;SUM(P$8:P262)&amp;" of "</f>
        <v xml:space="preserve">Page 4 of </v>
      </c>
      <c r="O262" s="655">
        <f>COUNT(P$8:P$56653)</f>
        <v>12</v>
      </c>
      <c r="P262" s="739">
        <v>1</v>
      </c>
    </row>
    <row r="263" spans="1:16">
      <c r="B263" s="348"/>
      <c r="C263" s="314"/>
      <c r="D263" s="539"/>
      <c r="E263" s="314"/>
      <c r="F263" s="314"/>
      <c r="G263" s="314"/>
      <c r="H263" s="709"/>
      <c r="I263" s="314"/>
      <c r="J263" s="427"/>
      <c r="K263" s="314"/>
      <c r="L263" s="314"/>
      <c r="M263" s="314"/>
      <c r="N263" s="314"/>
      <c r="O263" s="314"/>
      <c r="P263" s="427"/>
    </row>
    <row r="264" spans="1:16" ht="18">
      <c r="B264" s="658" t="s">
        <v>466</v>
      </c>
      <c r="C264" s="740" t="s">
        <v>85</v>
      </c>
      <c r="D264" s="539"/>
      <c r="E264" s="314"/>
      <c r="F264" s="314"/>
      <c r="G264" s="314"/>
      <c r="H264" s="709"/>
      <c r="I264" s="709"/>
      <c r="J264" s="731"/>
      <c r="K264" s="709"/>
      <c r="L264" s="709"/>
      <c r="M264" s="709"/>
      <c r="N264" s="709"/>
      <c r="O264" s="314"/>
    </row>
    <row r="265" spans="1:16" ht="18.75">
      <c r="B265" s="658"/>
      <c r="C265" s="657"/>
      <c r="D265" s="539"/>
      <c r="E265" s="314"/>
      <c r="F265" s="314"/>
      <c r="G265" s="314"/>
      <c r="H265" s="709"/>
      <c r="I265" s="709"/>
      <c r="J265" s="731"/>
      <c r="K265" s="709"/>
      <c r="L265" s="709"/>
      <c r="M265" s="709"/>
      <c r="N265" s="709"/>
      <c r="O265" s="314"/>
    </row>
    <row r="266" spans="1:16" ht="18.75">
      <c r="B266" s="658"/>
      <c r="C266" s="657" t="s">
        <v>86</v>
      </c>
      <c r="D266" s="539"/>
      <c r="E266" s="314"/>
      <c r="F266" s="314"/>
      <c r="G266" s="314"/>
      <c r="H266" s="709"/>
      <c r="I266" s="709"/>
      <c r="J266" s="731"/>
      <c r="K266" s="709"/>
      <c r="L266" s="709"/>
      <c r="M266" s="709"/>
      <c r="N266" s="709"/>
      <c r="O266" s="314"/>
    </row>
    <row r="267" spans="1:16" ht="15.75" thickBot="1">
      <c r="C267" s="240"/>
      <c r="D267" s="539"/>
      <c r="E267" s="314"/>
      <c r="F267" s="314"/>
      <c r="G267" s="314"/>
      <c r="H267" s="709"/>
      <c r="I267" s="709"/>
      <c r="J267" s="731"/>
      <c r="K267" s="709"/>
      <c r="L267" s="709"/>
      <c r="M267" s="709"/>
      <c r="N267" s="709"/>
      <c r="O267" s="314"/>
    </row>
    <row r="268" spans="1:16" ht="15.75">
      <c r="C268" s="660" t="s">
        <v>87</v>
      </c>
      <c r="D268" s="539"/>
      <c r="E268" s="314"/>
      <c r="F268" s="314"/>
      <c r="G268" s="807"/>
      <c r="H268" s="314" t="s">
        <v>66</v>
      </c>
      <c r="I268" s="314"/>
      <c r="J268" s="427"/>
      <c r="K268" s="741" t="s">
        <v>91</v>
      </c>
      <c r="L268" s="742"/>
      <c r="M268" s="743"/>
      <c r="N268" s="744">
        <f>IF(I274=0,0,VLOOKUP(I274,C281:O340,5))</f>
        <v>2260139.6777384086</v>
      </c>
      <c r="O268" s="314"/>
    </row>
    <row r="269" spans="1:16" ht="15.75">
      <c r="C269" s="660"/>
      <c r="D269" s="539"/>
      <c r="E269" s="314"/>
      <c r="F269" s="314"/>
      <c r="G269" s="314"/>
      <c r="H269" s="745"/>
      <c r="I269" s="745"/>
      <c r="J269" s="746"/>
      <c r="K269" s="747" t="s">
        <v>92</v>
      </c>
      <c r="L269" s="748"/>
      <c r="M269" s="427"/>
      <c r="N269" s="749">
        <f>IF(I274=0,0,VLOOKUP(I274,C281:O340,6))</f>
        <v>2260139.6777384086</v>
      </c>
      <c r="O269" s="314"/>
    </row>
    <row r="270" spans="1:16" ht="13.5" thickBot="1">
      <c r="C270" s="750" t="s">
        <v>88</v>
      </c>
      <c r="D270" s="1567" t="s">
        <v>813</v>
      </c>
      <c r="E270" s="1567"/>
      <c r="F270" s="1567"/>
      <c r="G270" s="1567"/>
      <c r="H270" s="1567"/>
      <c r="I270" s="1567"/>
      <c r="J270" s="731"/>
      <c r="K270" s="751" t="s">
        <v>230</v>
      </c>
      <c r="L270" s="752"/>
      <c r="M270" s="752"/>
      <c r="N270" s="753">
        <f>+N269-N268</f>
        <v>0</v>
      </c>
      <c r="O270" s="314"/>
    </row>
    <row r="271" spans="1:16">
      <c r="C271" s="754"/>
      <c r="D271" s="755"/>
      <c r="E271" s="735"/>
      <c r="F271" s="735"/>
      <c r="G271" s="756"/>
      <c r="H271" s="709"/>
      <c r="I271" s="709"/>
      <c r="J271" s="731"/>
      <c r="K271" s="709"/>
      <c r="L271" s="709"/>
      <c r="M271" s="709"/>
      <c r="N271" s="709"/>
      <c r="O271" s="314"/>
    </row>
    <row r="272" spans="1:16" ht="13.5" thickBot="1">
      <c r="C272" s="757"/>
      <c r="D272" s="758"/>
      <c r="E272" s="756"/>
      <c r="F272" s="756"/>
      <c r="G272" s="756"/>
      <c r="H272" s="756"/>
      <c r="I272" s="756"/>
      <c r="J272" s="759"/>
      <c r="K272" s="756"/>
      <c r="L272" s="756"/>
      <c r="M272" s="756"/>
      <c r="N272" s="756"/>
      <c r="O272" s="348"/>
    </row>
    <row r="273" spans="2:15" ht="13.5" thickBot="1">
      <c r="C273" s="760" t="s">
        <v>89</v>
      </c>
      <c r="D273" s="761"/>
      <c r="E273" s="761"/>
      <c r="F273" s="761"/>
      <c r="G273" s="761"/>
      <c r="H273" s="761"/>
      <c r="I273" s="762"/>
      <c r="J273" s="763"/>
      <c r="K273" s="314"/>
      <c r="L273" s="314"/>
      <c r="M273" s="314"/>
      <c r="N273" s="314"/>
      <c r="O273" s="764"/>
    </row>
    <row r="274" spans="2:15" ht="15">
      <c r="C274" s="765" t="s">
        <v>67</v>
      </c>
      <c r="D274" s="809">
        <v>19597955</v>
      </c>
      <c r="E274" s="726" t="s">
        <v>68</v>
      </c>
      <c r="G274" s="766"/>
      <c r="H274" s="766"/>
      <c r="I274" s="767">
        <f>$L$26</f>
        <v>2022</v>
      </c>
      <c r="J274" s="555"/>
      <c r="K274" s="1569" t="s">
        <v>239</v>
      </c>
      <c r="L274" s="1569"/>
      <c r="M274" s="1569"/>
      <c r="N274" s="1569"/>
      <c r="O274" s="1569"/>
    </row>
    <row r="275" spans="2:15">
      <c r="C275" s="765" t="s">
        <v>70</v>
      </c>
      <c r="D275" s="810">
        <v>2014</v>
      </c>
      <c r="E275" s="765" t="s">
        <v>71</v>
      </c>
      <c r="F275" s="766"/>
      <c r="H275" s="173"/>
      <c r="I275" s="811">
        <f>IF(G268="",0,$F$17)</f>
        <v>0</v>
      </c>
      <c r="J275" s="768"/>
      <c r="K275" s="731" t="s">
        <v>239</v>
      </c>
    </row>
    <row r="276" spans="2:15">
      <c r="C276" s="765" t="s">
        <v>72</v>
      </c>
      <c r="D276" s="809">
        <v>12</v>
      </c>
      <c r="E276" s="765" t="s">
        <v>73</v>
      </c>
      <c r="F276" s="766"/>
      <c r="H276" s="173"/>
      <c r="I276" s="769">
        <f>$G$70</f>
        <v>0.11129362813814259</v>
      </c>
      <c r="J276" s="770"/>
      <c r="K276" s="173" t="str">
        <f>"          INPUT PROJECTED ARR (WITH &amp; WITHOUT INCENTIVES) FROM EACH PRIOR YEAR"</f>
        <v xml:space="preserve">          INPUT PROJECTED ARR (WITH &amp; WITHOUT INCENTIVES) FROM EACH PRIOR YEAR</v>
      </c>
    </row>
    <row r="277" spans="2:15">
      <c r="C277" s="765" t="s">
        <v>74</v>
      </c>
      <c r="D277" s="771">
        <f>$G$79</f>
        <v>41</v>
      </c>
      <c r="E277" s="765" t="s">
        <v>75</v>
      </c>
      <c r="F277" s="766"/>
      <c r="H277" s="173"/>
      <c r="I277" s="769">
        <f>IF(G268="",I276,$G$69)</f>
        <v>0.11129362813814259</v>
      </c>
      <c r="J277" s="772"/>
      <c r="K277" s="173" t="s">
        <v>152</v>
      </c>
    </row>
    <row r="278" spans="2:15" ht="13.5" thickBot="1">
      <c r="C278" s="765" t="s">
        <v>76</v>
      </c>
      <c r="D278" s="808" t="s">
        <v>811</v>
      </c>
      <c r="E278" s="773" t="s">
        <v>77</v>
      </c>
      <c r="F278" s="774"/>
      <c r="G278" s="775"/>
      <c r="H278" s="775"/>
      <c r="I278" s="753">
        <f>IF(D274=0,0,D274/D277)</f>
        <v>477998.90243902442</v>
      </c>
      <c r="J278" s="731"/>
      <c r="K278" s="731" t="s">
        <v>158</v>
      </c>
      <c r="L278" s="731"/>
      <c r="M278" s="731"/>
      <c r="N278" s="731"/>
      <c r="O278" s="427"/>
    </row>
    <row r="279" spans="2:15" ht="38.25">
      <c r="B279" s="846"/>
      <c r="C279" s="776" t="s">
        <v>67</v>
      </c>
      <c r="D279" s="777" t="s">
        <v>78</v>
      </c>
      <c r="E279" s="778" t="s">
        <v>79</v>
      </c>
      <c r="F279" s="777" t="s">
        <v>80</v>
      </c>
      <c r="G279" s="778" t="s">
        <v>151</v>
      </c>
      <c r="H279" s="779" t="s">
        <v>151</v>
      </c>
      <c r="I279" s="776" t="s">
        <v>90</v>
      </c>
      <c r="J279" s="780"/>
      <c r="K279" s="778" t="s">
        <v>160</v>
      </c>
      <c r="L279" s="781"/>
      <c r="M279" s="778" t="s">
        <v>160</v>
      </c>
      <c r="N279" s="781"/>
      <c r="O279" s="781"/>
    </row>
    <row r="280" spans="2:15" ht="13.5" thickBot="1">
      <c r="C280" s="782" t="s">
        <v>469</v>
      </c>
      <c r="D280" s="783" t="s">
        <v>470</v>
      </c>
      <c r="E280" s="782" t="s">
        <v>363</v>
      </c>
      <c r="F280" s="783" t="s">
        <v>470</v>
      </c>
      <c r="G280" s="784" t="s">
        <v>93</v>
      </c>
      <c r="H280" s="785" t="s">
        <v>95</v>
      </c>
      <c r="I280" s="786" t="s">
        <v>15</v>
      </c>
      <c r="J280" s="787"/>
      <c r="K280" s="784" t="s">
        <v>82</v>
      </c>
      <c r="L280" s="788"/>
      <c r="M280" s="784" t="s">
        <v>95</v>
      </c>
      <c r="N280" s="788"/>
      <c r="O280" s="788"/>
    </row>
    <row r="281" spans="2:15">
      <c r="C281" s="789">
        <f>IF(D275= "","-",D275)</f>
        <v>2014</v>
      </c>
      <c r="D281" s="737">
        <f>+D274</f>
        <v>19597955</v>
      </c>
      <c r="E281" s="790">
        <f>+I278/12*(12-D276)</f>
        <v>0</v>
      </c>
      <c r="F281" s="737">
        <f>+D281-E281</f>
        <v>19597955</v>
      </c>
      <c r="G281" s="1001">
        <f>+$I$96*((D281+F281)/2)+E281</f>
        <v>2181127.5160380523</v>
      </c>
      <c r="H281" s="1002">
        <f>$I$97*((D281+F281)/2)+E281</f>
        <v>2181127.5160380523</v>
      </c>
      <c r="I281" s="793">
        <f>+H281-G281</f>
        <v>0</v>
      </c>
      <c r="J281" s="793"/>
      <c r="K281" s="812">
        <v>2093479</v>
      </c>
      <c r="L281" s="794"/>
      <c r="M281" s="812">
        <v>2093479</v>
      </c>
      <c r="N281" s="794"/>
      <c r="O281" s="794"/>
    </row>
    <row r="282" spans="2:15">
      <c r="C282" s="789">
        <f>IF(D275="","-",+C281+1)</f>
        <v>2015</v>
      </c>
      <c r="D282" s="737">
        <f t="shared" ref="D282:D340" si="12">F281</f>
        <v>19597955</v>
      </c>
      <c r="E282" s="790">
        <f>IF(D282&gt;$I$278,$I$278,D282)</f>
        <v>477998.90243902442</v>
      </c>
      <c r="F282" s="737">
        <f t="shared" ref="F282:F340" si="13">+D282-E282</f>
        <v>19119956.097560976</v>
      </c>
      <c r="G282" s="795">
        <f t="shared" ref="G282:G340" si="14">+$I$96*((D282+F282)/2)+E282</f>
        <v>2632527.3024278316</v>
      </c>
      <c r="H282" s="796">
        <f t="shared" ref="H282:H340" si="15">$I$97*((D282+F282)/2)+E282</f>
        <v>2632527.3024278316</v>
      </c>
      <c r="I282" s="793">
        <f t="shared" ref="I282:I340" si="16">+H282-G282</f>
        <v>0</v>
      </c>
      <c r="J282" s="793"/>
      <c r="K282" s="813">
        <v>2304583</v>
      </c>
      <c r="L282" s="797"/>
      <c r="M282" s="813">
        <v>2304583</v>
      </c>
      <c r="N282" s="797"/>
      <c r="O282" s="797"/>
    </row>
    <row r="283" spans="2:15">
      <c r="C283" s="789">
        <f>IF(D275="","-",+C282+1)</f>
        <v>2016</v>
      </c>
      <c r="D283" s="737">
        <f t="shared" si="12"/>
        <v>19119956.097560976</v>
      </c>
      <c r="E283" s="790">
        <f t="shared" ref="E283:E340" si="17">IF(D283&gt;$I$278,$I$278,D283)</f>
        <v>477998.90243902442</v>
      </c>
      <c r="F283" s="737">
        <f t="shared" si="13"/>
        <v>18641957.195121951</v>
      </c>
      <c r="G283" s="795">
        <f t="shared" si="14"/>
        <v>2579329.070329343</v>
      </c>
      <c r="H283" s="796">
        <f t="shared" si="15"/>
        <v>2579329.070329343</v>
      </c>
      <c r="I283" s="793">
        <f t="shared" si="16"/>
        <v>0</v>
      </c>
      <c r="J283" s="793"/>
      <c r="K283" s="813">
        <v>2231859</v>
      </c>
      <c r="L283" s="797"/>
      <c r="M283" s="813">
        <v>2231859</v>
      </c>
      <c r="N283" s="797"/>
      <c r="O283" s="797"/>
    </row>
    <row r="284" spans="2:15">
      <c r="C284" s="789">
        <f>IF(D275="","-",+C283+1)</f>
        <v>2017</v>
      </c>
      <c r="D284" s="737">
        <f t="shared" si="12"/>
        <v>18641957.195121951</v>
      </c>
      <c r="E284" s="790">
        <f t="shared" si="17"/>
        <v>477998.90243902442</v>
      </c>
      <c r="F284" s="737">
        <f t="shared" si="13"/>
        <v>18163958.292682927</v>
      </c>
      <c r="G284" s="795">
        <f t="shared" si="14"/>
        <v>2526130.8382308539</v>
      </c>
      <c r="H284" s="796">
        <f t="shared" si="15"/>
        <v>2526130.8382308539</v>
      </c>
      <c r="I284" s="793">
        <f t="shared" si="16"/>
        <v>0</v>
      </c>
      <c r="J284" s="793"/>
      <c r="K284" s="813">
        <v>2437179</v>
      </c>
      <c r="L284" s="797"/>
      <c r="M284" s="813">
        <v>2437179</v>
      </c>
      <c r="N284" s="797"/>
      <c r="O284" s="797"/>
    </row>
    <row r="285" spans="2:15">
      <c r="C285" s="1311">
        <f>IF(D275="","-",+C284+1)</f>
        <v>2018</v>
      </c>
      <c r="D285" s="737">
        <f t="shared" si="12"/>
        <v>18163958.292682927</v>
      </c>
      <c r="E285" s="790">
        <f t="shared" si="17"/>
        <v>477998.90243902442</v>
      </c>
      <c r="F285" s="737">
        <f t="shared" si="13"/>
        <v>17685959.390243903</v>
      </c>
      <c r="G285" s="795">
        <f t="shared" si="14"/>
        <v>2472932.6061323653</v>
      </c>
      <c r="H285" s="796">
        <f t="shared" si="15"/>
        <v>2472932.6061323653</v>
      </c>
      <c r="I285" s="793">
        <f t="shared" si="16"/>
        <v>0</v>
      </c>
      <c r="J285" s="793"/>
      <c r="K285" s="813">
        <v>2120264</v>
      </c>
      <c r="L285" s="797"/>
      <c r="M285" s="813">
        <v>2120264</v>
      </c>
      <c r="N285" s="797"/>
      <c r="O285" s="797"/>
    </row>
    <row r="286" spans="2:15">
      <c r="C286" s="1307">
        <f>IF(D275="","-",+C285+1)</f>
        <v>2019</v>
      </c>
      <c r="D286" s="737">
        <f t="shared" si="12"/>
        <v>17685959.390243903</v>
      </c>
      <c r="E286" s="790">
        <f t="shared" si="17"/>
        <v>477998.90243902442</v>
      </c>
      <c r="F286" s="737">
        <f t="shared" si="13"/>
        <v>17207960.487804879</v>
      </c>
      <c r="G286" s="795">
        <f t="shared" si="14"/>
        <v>2419734.3740338758</v>
      </c>
      <c r="H286" s="796">
        <f t="shared" si="15"/>
        <v>2419734.3740338758</v>
      </c>
      <c r="I286" s="793">
        <f t="shared" si="16"/>
        <v>0</v>
      </c>
      <c r="J286" s="793"/>
      <c r="K286" s="813"/>
      <c r="L286" s="797"/>
      <c r="M286" s="813"/>
      <c r="N286" s="797"/>
      <c r="O286" s="797"/>
    </row>
    <row r="287" spans="2:15">
      <c r="C287" s="789">
        <f>IF(D275="","-",+C286+1)</f>
        <v>2020</v>
      </c>
      <c r="D287" s="737">
        <f t="shared" si="12"/>
        <v>17207960.487804879</v>
      </c>
      <c r="E287" s="790">
        <f t="shared" si="17"/>
        <v>477998.90243902442</v>
      </c>
      <c r="F287" s="737">
        <f t="shared" si="13"/>
        <v>16729961.585365854</v>
      </c>
      <c r="G287" s="795">
        <f t="shared" si="14"/>
        <v>2366536.1419353872</v>
      </c>
      <c r="H287" s="796">
        <f t="shared" si="15"/>
        <v>2366536.1419353872</v>
      </c>
      <c r="I287" s="793">
        <f t="shared" si="16"/>
        <v>0</v>
      </c>
      <c r="J287" s="793"/>
      <c r="K287" s="813"/>
      <c r="L287" s="797"/>
      <c r="M287" s="813"/>
      <c r="N287" s="797"/>
      <c r="O287" s="797"/>
    </row>
    <row r="288" spans="2:15">
      <c r="C288" s="789">
        <f>IF(D275="","-",+C287+1)</f>
        <v>2021</v>
      </c>
      <c r="D288" s="737">
        <f t="shared" si="12"/>
        <v>16729961.585365854</v>
      </c>
      <c r="E288" s="790">
        <f t="shared" si="17"/>
        <v>477998.90243902442</v>
      </c>
      <c r="F288" s="737">
        <f t="shared" si="13"/>
        <v>16251962.68292683</v>
      </c>
      <c r="G288" s="795">
        <f t="shared" si="14"/>
        <v>2313337.9098368976</v>
      </c>
      <c r="H288" s="796">
        <f t="shared" si="15"/>
        <v>2313337.9098368976</v>
      </c>
      <c r="I288" s="793">
        <f t="shared" si="16"/>
        <v>0</v>
      </c>
      <c r="J288" s="793"/>
      <c r="K288" s="813"/>
      <c r="L288" s="797"/>
      <c r="M288" s="813"/>
      <c r="N288" s="797"/>
      <c r="O288" s="797"/>
    </row>
    <row r="289" spans="3:15">
      <c r="C289" s="789">
        <f>IF(D275="","-",+C288+1)</f>
        <v>2022</v>
      </c>
      <c r="D289" s="737">
        <f t="shared" si="12"/>
        <v>16251962.68292683</v>
      </c>
      <c r="E289" s="790">
        <f t="shared" si="17"/>
        <v>477998.90243902442</v>
      </c>
      <c r="F289" s="737">
        <f t="shared" si="13"/>
        <v>15773963.780487806</v>
      </c>
      <c r="G289" s="795">
        <f t="shared" si="14"/>
        <v>2260139.6777384086</v>
      </c>
      <c r="H289" s="796">
        <f t="shared" si="15"/>
        <v>2260139.6777384086</v>
      </c>
      <c r="I289" s="793">
        <f t="shared" si="16"/>
        <v>0</v>
      </c>
      <c r="J289" s="793"/>
      <c r="K289" s="813"/>
      <c r="L289" s="797"/>
      <c r="M289" s="813"/>
      <c r="N289" s="797"/>
      <c r="O289" s="797"/>
    </row>
    <row r="290" spans="3:15">
      <c r="C290" s="789">
        <f>IF(D275="","-",+C289+1)</f>
        <v>2023</v>
      </c>
      <c r="D290" s="737">
        <f t="shared" si="12"/>
        <v>15773963.780487806</v>
      </c>
      <c r="E290" s="790">
        <f t="shared" si="17"/>
        <v>477998.90243902442</v>
      </c>
      <c r="F290" s="737">
        <f t="shared" si="13"/>
        <v>15295964.878048781</v>
      </c>
      <c r="G290" s="795">
        <f t="shared" si="14"/>
        <v>2206941.4456399195</v>
      </c>
      <c r="H290" s="796">
        <f t="shared" si="15"/>
        <v>2206941.4456399195</v>
      </c>
      <c r="I290" s="793">
        <f t="shared" si="16"/>
        <v>0</v>
      </c>
      <c r="J290" s="793"/>
      <c r="K290" s="813"/>
      <c r="L290" s="797"/>
      <c r="M290" s="813"/>
      <c r="N290" s="797"/>
      <c r="O290" s="797"/>
    </row>
    <row r="291" spans="3:15">
      <c r="C291" s="789">
        <f>IF(D275="","-",+C290+1)</f>
        <v>2024</v>
      </c>
      <c r="D291" s="737">
        <f t="shared" si="12"/>
        <v>15295964.878048781</v>
      </c>
      <c r="E291" s="790">
        <f t="shared" si="17"/>
        <v>477998.90243902442</v>
      </c>
      <c r="F291" s="737">
        <f t="shared" si="13"/>
        <v>14817965.975609757</v>
      </c>
      <c r="G291" s="795">
        <f t="shared" si="14"/>
        <v>2153743.2135414304</v>
      </c>
      <c r="H291" s="796">
        <f t="shared" si="15"/>
        <v>2153743.2135414304</v>
      </c>
      <c r="I291" s="793">
        <f t="shared" si="16"/>
        <v>0</v>
      </c>
      <c r="J291" s="793"/>
      <c r="K291" s="813"/>
      <c r="L291" s="797"/>
      <c r="M291" s="813"/>
      <c r="N291" s="797"/>
      <c r="O291" s="797"/>
    </row>
    <row r="292" spans="3:15">
      <c r="C292" s="789">
        <f>IF(D275="","-",+C291+1)</f>
        <v>2025</v>
      </c>
      <c r="D292" s="737">
        <f t="shared" si="12"/>
        <v>14817965.975609757</v>
      </c>
      <c r="E292" s="790">
        <f t="shared" si="17"/>
        <v>477998.90243902442</v>
      </c>
      <c r="F292" s="737">
        <f t="shared" si="13"/>
        <v>14339967.073170733</v>
      </c>
      <c r="G292" s="795">
        <f t="shared" si="14"/>
        <v>2100544.9814429414</v>
      </c>
      <c r="H292" s="796">
        <f t="shared" si="15"/>
        <v>2100544.9814429414</v>
      </c>
      <c r="I292" s="793">
        <f t="shared" si="16"/>
        <v>0</v>
      </c>
      <c r="J292" s="793"/>
      <c r="K292" s="813"/>
      <c r="L292" s="797"/>
      <c r="M292" s="813"/>
      <c r="N292" s="797"/>
      <c r="O292" s="797"/>
    </row>
    <row r="293" spans="3:15">
      <c r="C293" s="789">
        <f>IF(D275="","-",+C292+1)</f>
        <v>2026</v>
      </c>
      <c r="D293" s="737">
        <f t="shared" si="12"/>
        <v>14339967.073170733</v>
      </c>
      <c r="E293" s="790">
        <f t="shared" si="17"/>
        <v>477998.90243902442</v>
      </c>
      <c r="F293" s="737">
        <f t="shared" si="13"/>
        <v>13861968.170731708</v>
      </c>
      <c r="G293" s="795">
        <f t="shared" si="14"/>
        <v>2047346.7493444523</v>
      </c>
      <c r="H293" s="796">
        <f t="shared" si="15"/>
        <v>2047346.7493444523</v>
      </c>
      <c r="I293" s="793">
        <f t="shared" si="16"/>
        <v>0</v>
      </c>
      <c r="J293" s="793"/>
      <c r="K293" s="813"/>
      <c r="L293" s="797"/>
      <c r="M293" s="813"/>
      <c r="N293" s="798"/>
      <c r="O293" s="797"/>
    </row>
    <row r="294" spans="3:15">
      <c r="C294" s="789">
        <f>IF(D275="","-",+C293+1)</f>
        <v>2027</v>
      </c>
      <c r="D294" s="737">
        <f t="shared" si="12"/>
        <v>13861968.170731708</v>
      </c>
      <c r="E294" s="790">
        <f t="shared" si="17"/>
        <v>477998.90243902442</v>
      </c>
      <c r="F294" s="737">
        <f t="shared" si="13"/>
        <v>13383969.268292684</v>
      </c>
      <c r="G294" s="795">
        <f t="shared" si="14"/>
        <v>1994148.5172459632</v>
      </c>
      <c r="H294" s="796">
        <f t="shared" si="15"/>
        <v>1994148.5172459632</v>
      </c>
      <c r="I294" s="793">
        <f t="shared" si="16"/>
        <v>0</v>
      </c>
      <c r="J294" s="793"/>
      <c r="K294" s="813"/>
      <c r="L294" s="797"/>
      <c r="M294" s="813"/>
      <c r="N294" s="797"/>
      <c r="O294" s="797"/>
    </row>
    <row r="295" spans="3:15">
      <c r="C295" s="789">
        <f>IF(D275="","-",+C294+1)</f>
        <v>2028</v>
      </c>
      <c r="D295" s="737">
        <f t="shared" si="12"/>
        <v>13383969.268292684</v>
      </c>
      <c r="E295" s="790">
        <f t="shared" si="17"/>
        <v>477998.90243902442</v>
      </c>
      <c r="F295" s="737">
        <f t="shared" si="13"/>
        <v>12905970.36585366</v>
      </c>
      <c r="G295" s="795">
        <f t="shared" si="14"/>
        <v>1940950.2851474741</v>
      </c>
      <c r="H295" s="796">
        <f t="shared" si="15"/>
        <v>1940950.2851474741</v>
      </c>
      <c r="I295" s="793">
        <f t="shared" si="16"/>
        <v>0</v>
      </c>
      <c r="J295" s="793"/>
      <c r="K295" s="813"/>
      <c r="L295" s="797"/>
      <c r="M295" s="813"/>
      <c r="N295" s="797"/>
      <c r="O295" s="797"/>
    </row>
    <row r="296" spans="3:15">
      <c r="C296" s="789">
        <f>IF(D275="","-",+C295+1)</f>
        <v>2029</v>
      </c>
      <c r="D296" s="737">
        <f t="shared" si="12"/>
        <v>12905970.36585366</v>
      </c>
      <c r="E296" s="790">
        <f t="shared" si="17"/>
        <v>477998.90243902442</v>
      </c>
      <c r="F296" s="737">
        <f t="shared" si="13"/>
        <v>12427971.463414636</v>
      </c>
      <c r="G296" s="795">
        <f t="shared" si="14"/>
        <v>1887752.0530489851</v>
      </c>
      <c r="H296" s="796">
        <f t="shared" si="15"/>
        <v>1887752.0530489851</v>
      </c>
      <c r="I296" s="793">
        <f t="shared" si="16"/>
        <v>0</v>
      </c>
      <c r="J296" s="793"/>
      <c r="K296" s="813"/>
      <c r="L296" s="797"/>
      <c r="M296" s="813"/>
      <c r="N296" s="797"/>
      <c r="O296" s="797"/>
    </row>
    <row r="297" spans="3:15">
      <c r="C297" s="789">
        <f>IF(D275="","-",+C296+1)</f>
        <v>2030</v>
      </c>
      <c r="D297" s="737">
        <f t="shared" si="12"/>
        <v>12427971.463414636</v>
      </c>
      <c r="E297" s="790">
        <f t="shared" si="17"/>
        <v>477998.90243902442</v>
      </c>
      <c r="F297" s="737">
        <f t="shared" si="13"/>
        <v>11949972.560975611</v>
      </c>
      <c r="G297" s="795">
        <f t="shared" si="14"/>
        <v>1834553.820950496</v>
      </c>
      <c r="H297" s="796">
        <f t="shared" si="15"/>
        <v>1834553.820950496</v>
      </c>
      <c r="I297" s="793">
        <f t="shared" si="16"/>
        <v>0</v>
      </c>
      <c r="J297" s="793"/>
      <c r="K297" s="813"/>
      <c r="L297" s="797"/>
      <c r="M297" s="813"/>
      <c r="N297" s="797"/>
      <c r="O297" s="797"/>
    </row>
    <row r="298" spans="3:15">
      <c r="C298" s="789">
        <f>IF(D275="","-",+C297+1)</f>
        <v>2031</v>
      </c>
      <c r="D298" s="737">
        <f t="shared" si="12"/>
        <v>11949972.560975611</v>
      </c>
      <c r="E298" s="790">
        <f t="shared" si="17"/>
        <v>477998.90243902442</v>
      </c>
      <c r="F298" s="737">
        <f t="shared" si="13"/>
        <v>11471973.658536587</v>
      </c>
      <c r="G298" s="795">
        <f t="shared" si="14"/>
        <v>1781355.5888520069</v>
      </c>
      <c r="H298" s="796">
        <f t="shared" si="15"/>
        <v>1781355.5888520069</v>
      </c>
      <c r="I298" s="793">
        <f t="shared" si="16"/>
        <v>0</v>
      </c>
      <c r="J298" s="793"/>
      <c r="K298" s="813"/>
      <c r="L298" s="797"/>
      <c r="M298" s="813"/>
      <c r="N298" s="797"/>
      <c r="O298" s="797"/>
    </row>
    <row r="299" spans="3:15">
      <c r="C299" s="789">
        <f>IF(D275="","-",+C298+1)</f>
        <v>2032</v>
      </c>
      <c r="D299" s="737">
        <f t="shared" si="12"/>
        <v>11471973.658536587</v>
      </c>
      <c r="E299" s="790">
        <f t="shared" si="17"/>
        <v>477998.90243902442</v>
      </c>
      <c r="F299" s="737">
        <f t="shared" si="13"/>
        <v>10993974.756097563</v>
      </c>
      <c r="G299" s="795">
        <f t="shared" si="14"/>
        <v>1728157.3567535179</v>
      </c>
      <c r="H299" s="796">
        <f t="shared" si="15"/>
        <v>1728157.3567535179</v>
      </c>
      <c r="I299" s="793">
        <f t="shared" si="16"/>
        <v>0</v>
      </c>
      <c r="J299" s="793"/>
      <c r="K299" s="813"/>
      <c r="L299" s="797"/>
      <c r="M299" s="813"/>
      <c r="N299" s="797"/>
      <c r="O299" s="797"/>
    </row>
    <row r="300" spans="3:15">
      <c r="C300" s="789">
        <f>IF(D275="","-",+C299+1)</f>
        <v>2033</v>
      </c>
      <c r="D300" s="737">
        <f t="shared" si="12"/>
        <v>10993974.756097563</v>
      </c>
      <c r="E300" s="790">
        <f t="shared" si="17"/>
        <v>477998.90243902442</v>
      </c>
      <c r="F300" s="737">
        <f t="shared" si="13"/>
        <v>10515975.853658538</v>
      </c>
      <c r="G300" s="795">
        <f t="shared" si="14"/>
        <v>1674959.1246550288</v>
      </c>
      <c r="H300" s="796">
        <f t="shared" si="15"/>
        <v>1674959.1246550288</v>
      </c>
      <c r="I300" s="793">
        <f t="shared" si="16"/>
        <v>0</v>
      </c>
      <c r="J300" s="793"/>
      <c r="K300" s="813"/>
      <c r="L300" s="797"/>
      <c r="M300" s="813"/>
      <c r="N300" s="797"/>
      <c r="O300" s="797"/>
    </row>
    <row r="301" spans="3:15">
      <c r="C301" s="789">
        <f>IF(D275="","-",+C300+1)</f>
        <v>2034</v>
      </c>
      <c r="D301" s="737">
        <f t="shared" si="12"/>
        <v>10515975.853658538</v>
      </c>
      <c r="E301" s="790">
        <f t="shared" si="17"/>
        <v>477998.90243902442</v>
      </c>
      <c r="F301" s="737">
        <f t="shared" si="13"/>
        <v>10037976.951219514</v>
      </c>
      <c r="G301" s="795">
        <f t="shared" si="14"/>
        <v>1621760.8925565397</v>
      </c>
      <c r="H301" s="796">
        <f t="shared" si="15"/>
        <v>1621760.8925565397</v>
      </c>
      <c r="I301" s="793">
        <f t="shared" si="16"/>
        <v>0</v>
      </c>
      <c r="J301" s="793"/>
      <c r="K301" s="813"/>
      <c r="L301" s="797"/>
      <c r="M301" s="813"/>
      <c r="N301" s="797"/>
      <c r="O301" s="797"/>
    </row>
    <row r="302" spans="3:15">
      <c r="C302" s="789">
        <f>IF(D275="","-",+C301+1)</f>
        <v>2035</v>
      </c>
      <c r="D302" s="737">
        <f t="shared" si="12"/>
        <v>10037976.951219514</v>
      </c>
      <c r="E302" s="790">
        <f t="shared" si="17"/>
        <v>477998.90243902442</v>
      </c>
      <c r="F302" s="737">
        <f t="shared" si="13"/>
        <v>9559978.0487804897</v>
      </c>
      <c r="G302" s="795">
        <f t="shared" si="14"/>
        <v>1568562.6604580507</v>
      </c>
      <c r="H302" s="796">
        <f t="shared" si="15"/>
        <v>1568562.6604580507</v>
      </c>
      <c r="I302" s="793">
        <f t="shared" si="16"/>
        <v>0</v>
      </c>
      <c r="J302" s="793"/>
      <c r="K302" s="813"/>
      <c r="L302" s="797"/>
      <c r="M302" s="813"/>
      <c r="N302" s="797"/>
      <c r="O302" s="797"/>
    </row>
    <row r="303" spans="3:15">
      <c r="C303" s="789">
        <f>IF(D275="","-",+C302+1)</f>
        <v>2036</v>
      </c>
      <c r="D303" s="737">
        <f t="shared" si="12"/>
        <v>9559978.0487804897</v>
      </c>
      <c r="E303" s="790">
        <f t="shared" si="17"/>
        <v>477998.90243902442</v>
      </c>
      <c r="F303" s="737">
        <f t="shared" si="13"/>
        <v>9081979.1463414654</v>
      </c>
      <c r="G303" s="795">
        <f t="shared" si="14"/>
        <v>1515364.4283595616</v>
      </c>
      <c r="H303" s="796">
        <f t="shared" si="15"/>
        <v>1515364.4283595616</v>
      </c>
      <c r="I303" s="793">
        <f t="shared" si="16"/>
        <v>0</v>
      </c>
      <c r="J303" s="793"/>
      <c r="K303" s="813"/>
      <c r="L303" s="797"/>
      <c r="M303" s="813"/>
      <c r="N303" s="797"/>
      <c r="O303" s="797"/>
    </row>
    <row r="304" spans="3:15">
      <c r="C304" s="789">
        <f>IF(D275="","-",+C303+1)</f>
        <v>2037</v>
      </c>
      <c r="D304" s="737">
        <f t="shared" si="12"/>
        <v>9081979.1463414654</v>
      </c>
      <c r="E304" s="790">
        <f t="shared" si="17"/>
        <v>477998.90243902442</v>
      </c>
      <c r="F304" s="737">
        <f t="shared" si="13"/>
        <v>8603980.2439024411</v>
      </c>
      <c r="G304" s="795">
        <f t="shared" si="14"/>
        <v>1462166.1962610725</v>
      </c>
      <c r="H304" s="796">
        <f t="shared" si="15"/>
        <v>1462166.1962610725</v>
      </c>
      <c r="I304" s="793">
        <f t="shared" si="16"/>
        <v>0</v>
      </c>
      <c r="J304" s="793"/>
      <c r="K304" s="813"/>
      <c r="L304" s="797"/>
      <c r="M304" s="813"/>
      <c r="N304" s="797"/>
      <c r="O304" s="797"/>
    </row>
    <row r="305" spans="3:15">
      <c r="C305" s="789">
        <f>IF(D275="","-",+C304+1)</f>
        <v>2038</v>
      </c>
      <c r="D305" s="737">
        <f t="shared" si="12"/>
        <v>8603980.2439024411</v>
      </c>
      <c r="E305" s="790">
        <f t="shared" si="17"/>
        <v>477998.90243902442</v>
      </c>
      <c r="F305" s="737">
        <f t="shared" si="13"/>
        <v>8125981.3414634168</v>
      </c>
      <c r="G305" s="795">
        <f t="shared" si="14"/>
        <v>1408967.9641625835</v>
      </c>
      <c r="H305" s="796">
        <f t="shared" si="15"/>
        <v>1408967.9641625835</v>
      </c>
      <c r="I305" s="793">
        <f t="shared" si="16"/>
        <v>0</v>
      </c>
      <c r="J305" s="793"/>
      <c r="K305" s="813"/>
      <c r="L305" s="797"/>
      <c r="M305" s="813"/>
      <c r="N305" s="797"/>
      <c r="O305" s="797"/>
    </row>
    <row r="306" spans="3:15">
      <c r="C306" s="789">
        <f>IF(D275="","-",+C305+1)</f>
        <v>2039</v>
      </c>
      <c r="D306" s="737">
        <f t="shared" si="12"/>
        <v>8125981.3414634168</v>
      </c>
      <c r="E306" s="790">
        <f t="shared" si="17"/>
        <v>477998.90243902442</v>
      </c>
      <c r="F306" s="737">
        <f t="shared" si="13"/>
        <v>7647982.4390243925</v>
      </c>
      <c r="G306" s="795">
        <f t="shared" si="14"/>
        <v>1355769.7320640944</v>
      </c>
      <c r="H306" s="796">
        <f t="shared" si="15"/>
        <v>1355769.7320640944</v>
      </c>
      <c r="I306" s="793">
        <f t="shared" si="16"/>
        <v>0</v>
      </c>
      <c r="J306" s="793"/>
      <c r="K306" s="813"/>
      <c r="L306" s="797"/>
      <c r="M306" s="813"/>
      <c r="N306" s="797"/>
      <c r="O306" s="797"/>
    </row>
    <row r="307" spans="3:15">
      <c r="C307" s="789">
        <f>IF(D275="","-",+C306+1)</f>
        <v>2040</v>
      </c>
      <c r="D307" s="737">
        <f t="shared" si="12"/>
        <v>7647982.4390243925</v>
      </c>
      <c r="E307" s="790">
        <f t="shared" si="17"/>
        <v>477998.90243902442</v>
      </c>
      <c r="F307" s="737">
        <f t="shared" si="13"/>
        <v>7169983.5365853682</v>
      </c>
      <c r="G307" s="795">
        <f t="shared" si="14"/>
        <v>1302571.4999656053</v>
      </c>
      <c r="H307" s="796">
        <f t="shared" si="15"/>
        <v>1302571.4999656053</v>
      </c>
      <c r="I307" s="793">
        <f t="shared" si="16"/>
        <v>0</v>
      </c>
      <c r="J307" s="793"/>
      <c r="K307" s="813"/>
      <c r="L307" s="797"/>
      <c r="M307" s="813"/>
      <c r="N307" s="797"/>
      <c r="O307" s="797"/>
    </row>
    <row r="308" spans="3:15">
      <c r="C308" s="789">
        <f>IF(D275="","-",+C307+1)</f>
        <v>2041</v>
      </c>
      <c r="D308" s="737">
        <f t="shared" si="12"/>
        <v>7169983.5365853682</v>
      </c>
      <c r="E308" s="790">
        <f t="shared" si="17"/>
        <v>477998.90243902442</v>
      </c>
      <c r="F308" s="737">
        <f t="shared" si="13"/>
        <v>6691984.6341463439</v>
      </c>
      <c r="G308" s="795">
        <f t="shared" si="14"/>
        <v>1249373.2678671163</v>
      </c>
      <c r="H308" s="796">
        <f t="shared" si="15"/>
        <v>1249373.2678671163</v>
      </c>
      <c r="I308" s="793">
        <f t="shared" si="16"/>
        <v>0</v>
      </c>
      <c r="J308" s="793"/>
      <c r="K308" s="813"/>
      <c r="L308" s="797"/>
      <c r="M308" s="813"/>
      <c r="N308" s="797"/>
      <c r="O308" s="797"/>
    </row>
    <row r="309" spans="3:15">
      <c r="C309" s="789">
        <f>IF(D275="","-",+C308+1)</f>
        <v>2042</v>
      </c>
      <c r="D309" s="737">
        <f t="shared" si="12"/>
        <v>6691984.6341463439</v>
      </c>
      <c r="E309" s="790">
        <f t="shared" si="17"/>
        <v>477998.90243902442</v>
      </c>
      <c r="F309" s="737">
        <f t="shared" si="13"/>
        <v>6213985.7317073196</v>
      </c>
      <c r="G309" s="791">
        <f t="shared" si="14"/>
        <v>1196175.0357686272</v>
      </c>
      <c r="H309" s="796">
        <f t="shared" si="15"/>
        <v>1196175.0357686272</v>
      </c>
      <c r="I309" s="793">
        <f t="shared" si="16"/>
        <v>0</v>
      </c>
      <c r="J309" s="793"/>
      <c r="K309" s="813"/>
      <c r="L309" s="797"/>
      <c r="M309" s="813"/>
      <c r="N309" s="797"/>
      <c r="O309" s="797"/>
    </row>
    <row r="310" spans="3:15">
      <c r="C310" s="789">
        <f>IF(D275="","-",+C309+1)</f>
        <v>2043</v>
      </c>
      <c r="D310" s="737">
        <f t="shared" si="12"/>
        <v>6213985.7317073196</v>
      </c>
      <c r="E310" s="790">
        <f t="shared" si="17"/>
        <v>477998.90243902442</v>
      </c>
      <c r="F310" s="737">
        <f t="shared" si="13"/>
        <v>5735986.8292682953</v>
      </c>
      <c r="G310" s="795">
        <f t="shared" si="14"/>
        <v>1142976.8036701381</v>
      </c>
      <c r="H310" s="796">
        <f t="shared" si="15"/>
        <v>1142976.8036701381</v>
      </c>
      <c r="I310" s="793">
        <f t="shared" si="16"/>
        <v>0</v>
      </c>
      <c r="J310" s="793"/>
      <c r="K310" s="813"/>
      <c r="L310" s="797"/>
      <c r="M310" s="813"/>
      <c r="N310" s="797"/>
      <c r="O310" s="797"/>
    </row>
    <row r="311" spans="3:15">
      <c r="C311" s="789">
        <f>IF(D275="","-",+C310+1)</f>
        <v>2044</v>
      </c>
      <c r="D311" s="737">
        <f t="shared" si="12"/>
        <v>5735986.8292682953</v>
      </c>
      <c r="E311" s="790">
        <f t="shared" si="17"/>
        <v>477998.90243902442</v>
      </c>
      <c r="F311" s="737">
        <f t="shared" si="13"/>
        <v>5257987.926829271</v>
      </c>
      <c r="G311" s="795">
        <f t="shared" si="14"/>
        <v>1089778.5715716491</v>
      </c>
      <c r="H311" s="796">
        <f t="shared" si="15"/>
        <v>1089778.5715716491</v>
      </c>
      <c r="I311" s="793">
        <f t="shared" si="16"/>
        <v>0</v>
      </c>
      <c r="J311" s="793"/>
      <c r="K311" s="813"/>
      <c r="L311" s="797"/>
      <c r="M311" s="813"/>
      <c r="N311" s="797"/>
      <c r="O311" s="797"/>
    </row>
    <row r="312" spans="3:15">
      <c r="C312" s="789">
        <f>IF(D275="","-",+C311+1)</f>
        <v>2045</v>
      </c>
      <c r="D312" s="737">
        <f t="shared" si="12"/>
        <v>5257987.926829271</v>
      </c>
      <c r="E312" s="790">
        <f t="shared" si="17"/>
        <v>477998.90243902442</v>
      </c>
      <c r="F312" s="737">
        <f t="shared" si="13"/>
        <v>4779989.0243902467</v>
      </c>
      <c r="G312" s="795">
        <f t="shared" si="14"/>
        <v>1036580.33947316</v>
      </c>
      <c r="H312" s="796">
        <f t="shared" si="15"/>
        <v>1036580.33947316</v>
      </c>
      <c r="I312" s="793">
        <f t="shared" si="16"/>
        <v>0</v>
      </c>
      <c r="J312" s="793"/>
      <c r="K312" s="813"/>
      <c r="L312" s="797"/>
      <c r="M312" s="813"/>
      <c r="N312" s="797"/>
      <c r="O312" s="797"/>
    </row>
    <row r="313" spans="3:15">
      <c r="C313" s="789">
        <f>IF(D275="","-",+C312+1)</f>
        <v>2046</v>
      </c>
      <c r="D313" s="737">
        <f t="shared" si="12"/>
        <v>4779989.0243902467</v>
      </c>
      <c r="E313" s="790">
        <f t="shared" si="17"/>
        <v>477998.90243902442</v>
      </c>
      <c r="F313" s="737">
        <f t="shared" si="13"/>
        <v>4301990.1219512224</v>
      </c>
      <c r="G313" s="795">
        <f t="shared" si="14"/>
        <v>983382.10737467092</v>
      </c>
      <c r="H313" s="796">
        <f t="shared" si="15"/>
        <v>983382.10737467092</v>
      </c>
      <c r="I313" s="793">
        <f t="shared" si="16"/>
        <v>0</v>
      </c>
      <c r="J313" s="793"/>
      <c r="K313" s="813"/>
      <c r="L313" s="797"/>
      <c r="M313" s="813"/>
      <c r="N313" s="797"/>
      <c r="O313" s="797"/>
    </row>
    <row r="314" spans="3:15">
      <c r="C314" s="789">
        <f>IF(D275="","-",+C313+1)</f>
        <v>2047</v>
      </c>
      <c r="D314" s="737">
        <f t="shared" si="12"/>
        <v>4301990.1219512224</v>
      </c>
      <c r="E314" s="790">
        <f t="shared" si="17"/>
        <v>477998.90243902442</v>
      </c>
      <c r="F314" s="737">
        <f t="shared" si="13"/>
        <v>3823991.2195121981</v>
      </c>
      <c r="G314" s="795">
        <f t="shared" si="14"/>
        <v>930183.87527618185</v>
      </c>
      <c r="H314" s="796">
        <f t="shared" si="15"/>
        <v>930183.87527618185</v>
      </c>
      <c r="I314" s="793">
        <f t="shared" si="16"/>
        <v>0</v>
      </c>
      <c r="J314" s="793"/>
      <c r="K314" s="813"/>
      <c r="L314" s="797"/>
      <c r="M314" s="813"/>
      <c r="N314" s="797"/>
      <c r="O314" s="797"/>
    </row>
    <row r="315" spans="3:15">
      <c r="C315" s="789">
        <f>IF(D275="","-",+C314+1)</f>
        <v>2048</v>
      </c>
      <c r="D315" s="737">
        <f t="shared" si="12"/>
        <v>3823991.2195121981</v>
      </c>
      <c r="E315" s="790">
        <f t="shared" si="17"/>
        <v>477998.90243902442</v>
      </c>
      <c r="F315" s="737">
        <f t="shared" si="13"/>
        <v>3345992.3170731738</v>
      </c>
      <c r="G315" s="795">
        <f t="shared" si="14"/>
        <v>876985.64317769278</v>
      </c>
      <c r="H315" s="796">
        <f t="shared" si="15"/>
        <v>876985.64317769278</v>
      </c>
      <c r="I315" s="793">
        <f t="shared" si="16"/>
        <v>0</v>
      </c>
      <c r="J315" s="793"/>
      <c r="K315" s="813"/>
      <c r="L315" s="797"/>
      <c r="M315" s="813"/>
      <c r="N315" s="797"/>
      <c r="O315" s="797"/>
    </row>
    <row r="316" spans="3:15">
      <c r="C316" s="789">
        <f>IF(D275="","-",+C315+1)</f>
        <v>2049</v>
      </c>
      <c r="D316" s="737">
        <f t="shared" si="12"/>
        <v>3345992.3170731738</v>
      </c>
      <c r="E316" s="790">
        <f t="shared" si="17"/>
        <v>477998.90243902442</v>
      </c>
      <c r="F316" s="737">
        <f t="shared" si="13"/>
        <v>2867993.4146341495</v>
      </c>
      <c r="G316" s="795">
        <f t="shared" si="14"/>
        <v>823787.41107920371</v>
      </c>
      <c r="H316" s="796">
        <f t="shared" si="15"/>
        <v>823787.41107920371</v>
      </c>
      <c r="I316" s="793">
        <f t="shared" si="16"/>
        <v>0</v>
      </c>
      <c r="J316" s="793"/>
      <c r="K316" s="813"/>
      <c r="L316" s="797"/>
      <c r="M316" s="813"/>
      <c r="N316" s="797"/>
      <c r="O316" s="797"/>
    </row>
    <row r="317" spans="3:15">
      <c r="C317" s="789">
        <f>IF(D275="","-",+C316+1)</f>
        <v>2050</v>
      </c>
      <c r="D317" s="737">
        <f t="shared" si="12"/>
        <v>2867993.4146341495</v>
      </c>
      <c r="E317" s="790">
        <f t="shared" si="17"/>
        <v>477998.90243902442</v>
      </c>
      <c r="F317" s="737">
        <f t="shared" si="13"/>
        <v>2389994.5121951252</v>
      </c>
      <c r="G317" s="795">
        <f t="shared" si="14"/>
        <v>770589.17898071464</v>
      </c>
      <c r="H317" s="796">
        <f t="shared" si="15"/>
        <v>770589.17898071464</v>
      </c>
      <c r="I317" s="793">
        <f t="shared" si="16"/>
        <v>0</v>
      </c>
      <c r="J317" s="793"/>
      <c r="K317" s="813"/>
      <c r="L317" s="797"/>
      <c r="M317" s="813"/>
      <c r="N317" s="797"/>
      <c r="O317" s="797"/>
    </row>
    <row r="318" spans="3:15">
      <c r="C318" s="789">
        <f>IF(D275="","-",+C317+1)</f>
        <v>2051</v>
      </c>
      <c r="D318" s="737">
        <f t="shared" si="12"/>
        <v>2389994.5121951252</v>
      </c>
      <c r="E318" s="790">
        <f t="shared" si="17"/>
        <v>477998.90243902442</v>
      </c>
      <c r="F318" s="737">
        <f t="shared" si="13"/>
        <v>1911995.6097561009</v>
      </c>
      <c r="G318" s="795">
        <f t="shared" si="14"/>
        <v>717390.94688222557</v>
      </c>
      <c r="H318" s="796">
        <f t="shared" si="15"/>
        <v>717390.94688222557</v>
      </c>
      <c r="I318" s="793">
        <f t="shared" si="16"/>
        <v>0</v>
      </c>
      <c r="J318" s="793"/>
      <c r="K318" s="813"/>
      <c r="L318" s="797"/>
      <c r="M318" s="813"/>
      <c r="N318" s="797"/>
      <c r="O318" s="797"/>
    </row>
    <row r="319" spans="3:15">
      <c r="C319" s="789">
        <f>IF(D275="","-",+C318+1)</f>
        <v>2052</v>
      </c>
      <c r="D319" s="737">
        <f t="shared" si="12"/>
        <v>1911995.6097561009</v>
      </c>
      <c r="E319" s="790">
        <f t="shared" si="17"/>
        <v>477998.90243902442</v>
      </c>
      <c r="F319" s="737">
        <f t="shared" si="13"/>
        <v>1433996.7073170766</v>
      </c>
      <c r="G319" s="795">
        <f t="shared" si="14"/>
        <v>664192.7147837365</v>
      </c>
      <c r="H319" s="796">
        <f t="shared" si="15"/>
        <v>664192.7147837365</v>
      </c>
      <c r="I319" s="793">
        <f t="shared" si="16"/>
        <v>0</v>
      </c>
      <c r="J319" s="793"/>
      <c r="K319" s="813"/>
      <c r="L319" s="797"/>
      <c r="M319" s="813"/>
      <c r="N319" s="797"/>
      <c r="O319" s="797"/>
    </row>
    <row r="320" spans="3:15">
      <c r="C320" s="789">
        <f>IF(D275="","-",+C319+1)</f>
        <v>2053</v>
      </c>
      <c r="D320" s="737">
        <f t="shared" si="12"/>
        <v>1433996.7073170766</v>
      </c>
      <c r="E320" s="790">
        <f t="shared" si="17"/>
        <v>477998.90243902442</v>
      </c>
      <c r="F320" s="737">
        <f t="shared" si="13"/>
        <v>955997.80487805221</v>
      </c>
      <c r="G320" s="795">
        <f t="shared" si="14"/>
        <v>610994.48268524744</v>
      </c>
      <c r="H320" s="796">
        <f t="shared" si="15"/>
        <v>610994.48268524744</v>
      </c>
      <c r="I320" s="793">
        <f t="shared" si="16"/>
        <v>0</v>
      </c>
      <c r="J320" s="793"/>
      <c r="K320" s="813"/>
      <c r="L320" s="797"/>
      <c r="M320" s="813"/>
      <c r="N320" s="797"/>
      <c r="O320" s="797"/>
    </row>
    <row r="321" spans="3:15">
      <c r="C321" s="789">
        <f>IF(D275="","-",+C320+1)</f>
        <v>2054</v>
      </c>
      <c r="D321" s="737">
        <f t="shared" si="12"/>
        <v>955997.80487805221</v>
      </c>
      <c r="E321" s="790">
        <f t="shared" si="17"/>
        <v>477998.90243902442</v>
      </c>
      <c r="F321" s="737">
        <f t="shared" si="13"/>
        <v>477998.90243902779</v>
      </c>
      <c r="G321" s="795">
        <f t="shared" si="14"/>
        <v>557796.25058675837</v>
      </c>
      <c r="H321" s="796">
        <f t="shared" si="15"/>
        <v>557796.25058675837</v>
      </c>
      <c r="I321" s="793">
        <f t="shared" si="16"/>
        <v>0</v>
      </c>
      <c r="J321" s="793"/>
      <c r="K321" s="813"/>
      <c r="L321" s="797"/>
      <c r="M321" s="813"/>
      <c r="N321" s="797"/>
      <c r="O321" s="797"/>
    </row>
    <row r="322" spans="3:15">
      <c r="C322" s="789">
        <f>IF(D275="","-",+C321+1)</f>
        <v>2055</v>
      </c>
      <c r="D322" s="737">
        <f t="shared" si="12"/>
        <v>477998.90243902779</v>
      </c>
      <c r="E322" s="790">
        <f t="shared" si="17"/>
        <v>477998.90243902442</v>
      </c>
      <c r="F322" s="737">
        <f t="shared" si="13"/>
        <v>3.3760443329811096E-9</v>
      </c>
      <c r="G322" s="795">
        <f t="shared" si="14"/>
        <v>504598.01848826936</v>
      </c>
      <c r="H322" s="796">
        <f t="shared" si="15"/>
        <v>504598.01848826936</v>
      </c>
      <c r="I322" s="793">
        <f t="shared" si="16"/>
        <v>0</v>
      </c>
      <c r="J322" s="793"/>
      <c r="K322" s="813"/>
      <c r="L322" s="797"/>
      <c r="M322" s="813"/>
      <c r="N322" s="797"/>
      <c r="O322" s="797"/>
    </row>
    <row r="323" spans="3:15">
      <c r="C323" s="789">
        <f>IF(D275="","-",+C322+1)</f>
        <v>2056</v>
      </c>
      <c r="D323" s="737">
        <f t="shared" si="12"/>
        <v>3.3760443329811096E-9</v>
      </c>
      <c r="E323" s="790">
        <f t="shared" si="17"/>
        <v>3.3760443329811096E-9</v>
      </c>
      <c r="F323" s="737">
        <f t="shared" si="13"/>
        <v>0</v>
      </c>
      <c r="G323" s="795">
        <f t="shared" si="14"/>
        <v>3.5639104442674511E-9</v>
      </c>
      <c r="H323" s="796">
        <f t="shared" si="15"/>
        <v>3.5639104442674511E-9</v>
      </c>
      <c r="I323" s="793">
        <f t="shared" si="16"/>
        <v>0</v>
      </c>
      <c r="J323" s="793"/>
      <c r="K323" s="813"/>
      <c r="L323" s="797"/>
      <c r="M323" s="813"/>
      <c r="N323" s="797"/>
      <c r="O323" s="797"/>
    </row>
    <row r="324" spans="3:15">
      <c r="C324" s="789">
        <f>IF(D275="","-",+C323+1)</f>
        <v>2057</v>
      </c>
      <c r="D324" s="737">
        <f t="shared" si="12"/>
        <v>0</v>
      </c>
      <c r="E324" s="790">
        <f t="shared" si="17"/>
        <v>0</v>
      </c>
      <c r="F324" s="737">
        <f t="shared" si="13"/>
        <v>0</v>
      </c>
      <c r="G324" s="795">
        <f t="shared" si="14"/>
        <v>0</v>
      </c>
      <c r="H324" s="796">
        <f t="shared" si="15"/>
        <v>0</v>
      </c>
      <c r="I324" s="793">
        <f t="shared" si="16"/>
        <v>0</v>
      </c>
      <c r="J324" s="793"/>
      <c r="K324" s="813"/>
      <c r="L324" s="797"/>
      <c r="M324" s="813"/>
      <c r="N324" s="797"/>
      <c r="O324" s="797"/>
    </row>
    <row r="325" spans="3:15">
      <c r="C325" s="789">
        <f>IF(D275="","-",+C324+1)</f>
        <v>2058</v>
      </c>
      <c r="D325" s="737">
        <f t="shared" si="12"/>
        <v>0</v>
      </c>
      <c r="E325" s="790">
        <f t="shared" si="17"/>
        <v>0</v>
      </c>
      <c r="F325" s="737">
        <f t="shared" si="13"/>
        <v>0</v>
      </c>
      <c r="G325" s="795">
        <f t="shared" si="14"/>
        <v>0</v>
      </c>
      <c r="H325" s="796">
        <f t="shared" si="15"/>
        <v>0</v>
      </c>
      <c r="I325" s="793">
        <f t="shared" si="16"/>
        <v>0</v>
      </c>
      <c r="J325" s="793"/>
      <c r="K325" s="813"/>
      <c r="L325" s="797"/>
      <c r="M325" s="813"/>
      <c r="N325" s="797"/>
      <c r="O325" s="797"/>
    </row>
    <row r="326" spans="3:15">
      <c r="C326" s="789">
        <f>IF(D275="","-",+C325+1)</f>
        <v>2059</v>
      </c>
      <c r="D326" s="737">
        <f t="shared" si="12"/>
        <v>0</v>
      </c>
      <c r="E326" s="790">
        <f t="shared" si="17"/>
        <v>0</v>
      </c>
      <c r="F326" s="737">
        <f t="shared" si="13"/>
        <v>0</v>
      </c>
      <c r="G326" s="795">
        <f t="shared" si="14"/>
        <v>0</v>
      </c>
      <c r="H326" s="796">
        <f t="shared" si="15"/>
        <v>0</v>
      </c>
      <c r="I326" s="793">
        <f t="shared" si="16"/>
        <v>0</v>
      </c>
      <c r="J326" s="793"/>
      <c r="K326" s="813"/>
      <c r="L326" s="797"/>
      <c r="M326" s="813"/>
      <c r="N326" s="797"/>
      <c r="O326" s="797"/>
    </row>
    <row r="327" spans="3:15">
      <c r="C327" s="789">
        <f>IF(D275="","-",+C326+1)</f>
        <v>2060</v>
      </c>
      <c r="D327" s="737">
        <f t="shared" si="12"/>
        <v>0</v>
      </c>
      <c r="E327" s="790">
        <f t="shared" si="17"/>
        <v>0</v>
      </c>
      <c r="F327" s="737">
        <f t="shared" si="13"/>
        <v>0</v>
      </c>
      <c r="G327" s="795">
        <f t="shared" si="14"/>
        <v>0</v>
      </c>
      <c r="H327" s="796">
        <f t="shared" si="15"/>
        <v>0</v>
      </c>
      <c r="I327" s="793">
        <f t="shared" si="16"/>
        <v>0</v>
      </c>
      <c r="J327" s="793"/>
      <c r="K327" s="813"/>
      <c r="L327" s="797"/>
      <c r="M327" s="813"/>
      <c r="N327" s="797"/>
      <c r="O327" s="797"/>
    </row>
    <row r="328" spans="3:15">
      <c r="C328" s="789">
        <f>IF(D275="","-",+C327+1)</f>
        <v>2061</v>
      </c>
      <c r="D328" s="737">
        <f t="shared" si="12"/>
        <v>0</v>
      </c>
      <c r="E328" s="790">
        <f t="shared" si="17"/>
        <v>0</v>
      </c>
      <c r="F328" s="737">
        <f t="shared" si="13"/>
        <v>0</v>
      </c>
      <c r="G328" s="795">
        <f t="shared" si="14"/>
        <v>0</v>
      </c>
      <c r="H328" s="796">
        <f t="shared" si="15"/>
        <v>0</v>
      </c>
      <c r="I328" s="793">
        <f t="shared" si="16"/>
        <v>0</v>
      </c>
      <c r="J328" s="793"/>
      <c r="K328" s="813"/>
      <c r="L328" s="797"/>
      <c r="M328" s="813"/>
      <c r="N328" s="797"/>
      <c r="O328" s="797"/>
    </row>
    <row r="329" spans="3:15">
      <c r="C329" s="789">
        <f>IF(D275="","-",+C328+1)</f>
        <v>2062</v>
      </c>
      <c r="D329" s="737">
        <f t="shared" si="12"/>
        <v>0</v>
      </c>
      <c r="E329" s="790">
        <f t="shared" si="17"/>
        <v>0</v>
      </c>
      <c r="F329" s="737">
        <f t="shared" si="13"/>
        <v>0</v>
      </c>
      <c r="G329" s="795">
        <f t="shared" si="14"/>
        <v>0</v>
      </c>
      <c r="H329" s="796">
        <f t="shared" si="15"/>
        <v>0</v>
      </c>
      <c r="I329" s="793">
        <f t="shared" si="16"/>
        <v>0</v>
      </c>
      <c r="J329" s="793"/>
      <c r="K329" s="813"/>
      <c r="L329" s="797"/>
      <c r="M329" s="813"/>
      <c r="N329" s="797"/>
      <c r="O329" s="797"/>
    </row>
    <row r="330" spans="3:15">
      <c r="C330" s="789">
        <f>IF(D275="","-",+C329+1)</f>
        <v>2063</v>
      </c>
      <c r="D330" s="737">
        <f t="shared" si="12"/>
        <v>0</v>
      </c>
      <c r="E330" s="790">
        <f t="shared" si="17"/>
        <v>0</v>
      </c>
      <c r="F330" s="737">
        <f t="shared" si="13"/>
        <v>0</v>
      </c>
      <c r="G330" s="795">
        <f t="shared" si="14"/>
        <v>0</v>
      </c>
      <c r="H330" s="796">
        <f t="shared" si="15"/>
        <v>0</v>
      </c>
      <c r="I330" s="793">
        <f t="shared" si="16"/>
        <v>0</v>
      </c>
      <c r="J330" s="793"/>
      <c r="K330" s="813"/>
      <c r="L330" s="797"/>
      <c r="M330" s="813"/>
      <c r="N330" s="797"/>
      <c r="O330" s="797"/>
    </row>
    <row r="331" spans="3:15">
      <c r="C331" s="789">
        <f>IF(D275="","-",+C330+1)</f>
        <v>2064</v>
      </c>
      <c r="D331" s="737">
        <f t="shared" si="12"/>
        <v>0</v>
      </c>
      <c r="E331" s="790">
        <f t="shared" si="17"/>
        <v>0</v>
      </c>
      <c r="F331" s="737">
        <f t="shared" si="13"/>
        <v>0</v>
      </c>
      <c r="G331" s="795">
        <f t="shared" si="14"/>
        <v>0</v>
      </c>
      <c r="H331" s="796">
        <f t="shared" si="15"/>
        <v>0</v>
      </c>
      <c r="I331" s="793">
        <f t="shared" si="16"/>
        <v>0</v>
      </c>
      <c r="J331" s="793"/>
      <c r="K331" s="813"/>
      <c r="L331" s="797"/>
      <c r="M331" s="813"/>
      <c r="N331" s="797"/>
      <c r="O331" s="797"/>
    </row>
    <row r="332" spans="3:15">
      <c r="C332" s="789">
        <f>IF(D275="","-",+C331+1)</f>
        <v>2065</v>
      </c>
      <c r="D332" s="737">
        <f t="shared" si="12"/>
        <v>0</v>
      </c>
      <c r="E332" s="790">
        <f t="shared" si="17"/>
        <v>0</v>
      </c>
      <c r="F332" s="737">
        <f t="shared" si="13"/>
        <v>0</v>
      </c>
      <c r="G332" s="795">
        <f t="shared" si="14"/>
        <v>0</v>
      </c>
      <c r="H332" s="796">
        <f t="shared" si="15"/>
        <v>0</v>
      </c>
      <c r="I332" s="793">
        <f t="shared" si="16"/>
        <v>0</v>
      </c>
      <c r="J332" s="793"/>
      <c r="K332" s="813"/>
      <c r="L332" s="797"/>
      <c r="M332" s="813"/>
      <c r="N332" s="797"/>
      <c r="O332" s="797"/>
    </row>
    <row r="333" spans="3:15">
      <c r="C333" s="789">
        <f>IF(D275="","-",+C332+1)</f>
        <v>2066</v>
      </c>
      <c r="D333" s="737">
        <f t="shared" si="12"/>
        <v>0</v>
      </c>
      <c r="E333" s="790">
        <f t="shared" si="17"/>
        <v>0</v>
      </c>
      <c r="F333" s="737">
        <f t="shared" si="13"/>
        <v>0</v>
      </c>
      <c r="G333" s="795">
        <f t="shared" si="14"/>
        <v>0</v>
      </c>
      <c r="H333" s="796">
        <f t="shared" si="15"/>
        <v>0</v>
      </c>
      <c r="I333" s="793">
        <f t="shared" si="16"/>
        <v>0</v>
      </c>
      <c r="J333" s="793"/>
      <c r="K333" s="813"/>
      <c r="L333" s="797"/>
      <c r="M333" s="813"/>
      <c r="N333" s="797"/>
      <c r="O333" s="797"/>
    </row>
    <row r="334" spans="3:15">
      <c r="C334" s="789">
        <f>IF(D275="","-",+C333+1)</f>
        <v>2067</v>
      </c>
      <c r="D334" s="737">
        <f t="shared" si="12"/>
        <v>0</v>
      </c>
      <c r="E334" s="790">
        <f t="shared" si="17"/>
        <v>0</v>
      </c>
      <c r="F334" s="737">
        <f t="shared" si="13"/>
        <v>0</v>
      </c>
      <c r="G334" s="795">
        <f t="shared" si="14"/>
        <v>0</v>
      </c>
      <c r="H334" s="796">
        <f t="shared" si="15"/>
        <v>0</v>
      </c>
      <c r="I334" s="793">
        <f t="shared" si="16"/>
        <v>0</v>
      </c>
      <c r="J334" s="793"/>
      <c r="K334" s="813"/>
      <c r="L334" s="797"/>
      <c r="M334" s="813"/>
      <c r="N334" s="797"/>
      <c r="O334" s="797"/>
    </row>
    <row r="335" spans="3:15">
      <c r="C335" s="789">
        <f>IF(D275="","-",+C334+1)</f>
        <v>2068</v>
      </c>
      <c r="D335" s="737">
        <f t="shared" si="12"/>
        <v>0</v>
      </c>
      <c r="E335" s="790">
        <f t="shared" si="17"/>
        <v>0</v>
      </c>
      <c r="F335" s="737">
        <f t="shared" si="13"/>
        <v>0</v>
      </c>
      <c r="G335" s="795">
        <f t="shared" si="14"/>
        <v>0</v>
      </c>
      <c r="H335" s="796">
        <f t="shared" si="15"/>
        <v>0</v>
      </c>
      <c r="I335" s="793">
        <f t="shared" si="16"/>
        <v>0</v>
      </c>
      <c r="J335" s="793"/>
      <c r="K335" s="813"/>
      <c r="L335" s="797"/>
      <c r="M335" s="813"/>
      <c r="N335" s="797"/>
      <c r="O335" s="797"/>
    </row>
    <row r="336" spans="3:15">
      <c r="C336" s="789">
        <f>IF(D275="","-",+C335+1)</f>
        <v>2069</v>
      </c>
      <c r="D336" s="737">
        <f t="shared" si="12"/>
        <v>0</v>
      </c>
      <c r="E336" s="790">
        <f t="shared" si="17"/>
        <v>0</v>
      </c>
      <c r="F336" s="737">
        <f t="shared" si="13"/>
        <v>0</v>
      </c>
      <c r="G336" s="795">
        <f t="shared" si="14"/>
        <v>0</v>
      </c>
      <c r="H336" s="796">
        <f t="shared" si="15"/>
        <v>0</v>
      </c>
      <c r="I336" s="793">
        <f t="shared" si="16"/>
        <v>0</v>
      </c>
      <c r="J336" s="793"/>
      <c r="K336" s="813"/>
      <c r="L336" s="797"/>
      <c r="M336" s="813"/>
      <c r="N336" s="797"/>
      <c r="O336" s="797"/>
    </row>
    <row r="337" spans="1:16">
      <c r="C337" s="789">
        <f>IF(D275="","-",+C336+1)</f>
        <v>2070</v>
      </c>
      <c r="D337" s="737">
        <f t="shared" si="12"/>
        <v>0</v>
      </c>
      <c r="E337" s="790">
        <f t="shared" si="17"/>
        <v>0</v>
      </c>
      <c r="F337" s="737">
        <f t="shared" si="13"/>
        <v>0</v>
      </c>
      <c r="G337" s="795">
        <f t="shared" si="14"/>
        <v>0</v>
      </c>
      <c r="H337" s="796">
        <f t="shared" si="15"/>
        <v>0</v>
      </c>
      <c r="I337" s="793">
        <f t="shared" si="16"/>
        <v>0</v>
      </c>
      <c r="J337" s="793"/>
      <c r="K337" s="813"/>
      <c r="L337" s="797"/>
      <c r="M337" s="813"/>
      <c r="N337" s="797"/>
      <c r="O337" s="797"/>
    </row>
    <row r="338" spans="1:16">
      <c r="C338" s="789">
        <f>IF(D275="","-",+C337+1)</f>
        <v>2071</v>
      </c>
      <c r="D338" s="737">
        <f t="shared" si="12"/>
        <v>0</v>
      </c>
      <c r="E338" s="790">
        <f t="shared" si="17"/>
        <v>0</v>
      </c>
      <c r="F338" s="737">
        <f t="shared" si="13"/>
        <v>0</v>
      </c>
      <c r="G338" s="795">
        <f t="shared" si="14"/>
        <v>0</v>
      </c>
      <c r="H338" s="796">
        <f t="shared" si="15"/>
        <v>0</v>
      </c>
      <c r="I338" s="793">
        <f t="shared" si="16"/>
        <v>0</v>
      </c>
      <c r="J338" s="793"/>
      <c r="K338" s="813"/>
      <c r="L338" s="797"/>
      <c r="M338" s="813"/>
      <c r="N338" s="797"/>
      <c r="O338" s="797"/>
    </row>
    <row r="339" spans="1:16">
      <c r="C339" s="789">
        <f>IF(D275="","-",+C338+1)</f>
        <v>2072</v>
      </c>
      <c r="D339" s="737">
        <f t="shared" si="12"/>
        <v>0</v>
      </c>
      <c r="E339" s="790">
        <f t="shared" si="17"/>
        <v>0</v>
      </c>
      <c r="F339" s="737">
        <f t="shared" si="13"/>
        <v>0</v>
      </c>
      <c r="G339" s="795">
        <f t="shared" si="14"/>
        <v>0</v>
      </c>
      <c r="H339" s="796">
        <f t="shared" si="15"/>
        <v>0</v>
      </c>
      <c r="I339" s="793">
        <f t="shared" si="16"/>
        <v>0</v>
      </c>
      <c r="J339" s="793"/>
      <c r="K339" s="813"/>
      <c r="L339" s="797"/>
      <c r="M339" s="813"/>
      <c r="N339" s="797"/>
      <c r="O339" s="797"/>
    </row>
    <row r="340" spans="1:16" ht="13.5" thickBot="1">
      <c r="C340" s="799">
        <f>IF(D275="","-",+C339+1)</f>
        <v>2073</v>
      </c>
      <c r="D340" s="800">
        <f t="shared" si="12"/>
        <v>0</v>
      </c>
      <c r="E340" s="801">
        <f t="shared" si="17"/>
        <v>0</v>
      </c>
      <c r="F340" s="800">
        <f t="shared" si="13"/>
        <v>0</v>
      </c>
      <c r="G340" s="802">
        <f t="shared" si="14"/>
        <v>0</v>
      </c>
      <c r="H340" s="802">
        <f t="shared" si="15"/>
        <v>0</v>
      </c>
      <c r="I340" s="803">
        <f t="shared" si="16"/>
        <v>0</v>
      </c>
      <c r="J340" s="793"/>
      <c r="K340" s="814"/>
      <c r="L340" s="804"/>
      <c r="M340" s="814"/>
      <c r="N340" s="804"/>
      <c r="O340" s="804"/>
    </row>
    <row r="341" spans="1:16">
      <c r="C341" s="737" t="s">
        <v>83</v>
      </c>
      <c r="D341" s="731"/>
      <c r="E341" s="731">
        <f>SUM(E281:E340)</f>
        <v>19597955.000000004</v>
      </c>
      <c r="F341" s="731"/>
      <c r="G341" s="731">
        <f>SUM(G281:G340)</f>
        <v>66492196.594818123</v>
      </c>
      <c r="H341" s="731">
        <f>SUM(H281:H340)</f>
        <v>66492196.594818123</v>
      </c>
      <c r="I341" s="731">
        <f>SUM(I281:I340)</f>
        <v>0</v>
      </c>
      <c r="J341" s="731"/>
      <c r="K341" s="731"/>
      <c r="L341" s="731"/>
      <c r="M341" s="731"/>
      <c r="N341" s="731"/>
      <c r="O341" s="314"/>
    </row>
    <row r="342" spans="1:16">
      <c r="D342" s="539"/>
      <c r="E342" s="314"/>
      <c r="F342" s="314"/>
      <c r="G342" s="314"/>
      <c r="H342" s="709"/>
      <c r="I342" s="709"/>
      <c r="J342" s="731"/>
      <c r="K342" s="709"/>
      <c r="L342" s="709"/>
      <c r="M342" s="709"/>
      <c r="N342" s="709"/>
      <c r="O342" s="314"/>
    </row>
    <row r="343" spans="1:16">
      <c r="C343" s="314" t="s">
        <v>13</v>
      </c>
      <c r="D343" s="539"/>
      <c r="E343" s="314"/>
      <c r="F343" s="314"/>
      <c r="G343" s="314"/>
      <c r="H343" s="709"/>
      <c r="I343" s="709"/>
      <c r="J343" s="731"/>
      <c r="K343" s="709"/>
      <c r="L343" s="709"/>
      <c r="M343" s="709"/>
      <c r="N343" s="709"/>
      <c r="O343" s="314"/>
    </row>
    <row r="344" spans="1:16">
      <c r="C344" s="314"/>
      <c r="D344" s="539"/>
      <c r="E344" s="314"/>
      <c r="F344" s="314"/>
      <c r="G344" s="314"/>
      <c r="H344" s="709"/>
      <c r="I344" s="709"/>
      <c r="J344" s="731"/>
      <c r="K344" s="709"/>
      <c r="L344" s="709"/>
      <c r="M344" s="709"/>
      <c r="N344" s="709"/>
      <c r="O344" s="314"/>
    </row>
    <row r="345" spans="1:16">
      <c r="C345" s="750" t="s">
        <v>14</v>
      </c>
      <c r="D345" s="737"/>
      <c r="E345" s="737"/>
      <c r="F345" s="737"/>
      <c r="G345" s="731"/>
      <c r="H345" s="731"/>
      <c r="I345" s="805"/>
      <c r="J345" s="805"/>
      <c r="K345" s="805"/>
      <c r="L345" s="805"/>
      <c r="M345" s="805"/>
      <c r="N345" s="805"/>
      <c r="O345" s="314"/>
    </row>
    <row r="346" spans="1:16">
      <c r="C346" s="736" t="s">
        <v>263</v>
      </c>
      <c r="D346" s="737"/>
      <c r="E346" s="737"/>
      <c r="F346" s="737"/>
      <c r="G346" s="731"/>
      <c r="H346" s="731"/>
      <c r="I346" s="805"/>
      <c r="J346" s="805"/>
      <c r="K346" s="805"/>
      <c r="L346" s="805"/>
      <c r="M346" s="805"/>
      <c r="N346" s="805"/>
      <c r="O346" s="314"/>
    </row>
    <row r="347" spans="1:16">
      <c r="C347" s="736" t="s">
        <v>84</v>
      </c>
      <c r="D347" s="737"/>
      <c r="E347" s="737"/>
      <c r="F347" s="737"/>
      <c r="G347" s="731"/>
      <c r="H347" s="731"/>
      <c r="I347" s="805"/>
      <c r="J347" s="805"/>
      <c r="K347" s="805"/>
      <c r="L347" s="805"/>
      <c r="M347" s="805"/>
      <c r="N347" s="805"/>
      <c r="O347" s="314"/>
    </row>
    <row r="348" spans="1:16">
      <c r="C348" s="736"/>
      <c r="D348" s="737"/>
      <c r="E348" s="737"/>
      <c r="F348" s="737"/>
      <c r="G348" s="731"/>
      <c r="H348" s="731"/>
      <c r="I348" s="805"/>
      <c r="J348" s="805"/>
      <c r="K348" s="805"/>
      <c r="L348" s="805"/>
      <c r="M348" s="805"/>
      <c r="N348" s="805"/>
      <c r="O348" s="314"/>
    </row>
    <row r="349" spans="1:16">
      <c r="C349" s="1568" t="s">
        <v>6</v>
      </c>
      <c r="D349" s="1568"/>
      <c r="E349" s="1568"/>
      <c r="F349" s="1568"/>
      <c r="G349" s="1568"/>
      <c r="H349" s="1568"/>
      <c r="I349" s="1568"/>
      <c r="J349" s="1568"/>
      <c r="K349" s="1568"/>
      <c r="L349" s="1568"/>
      <c r="M349" s="1568"/>
      <c r="N349" s="1568"/>
      <c r="O349" s="1568"/>
    </row>
    <row r="350" spans="1:16">
      <c r="C350" s="1568"/>
      <c r="D350" s="1568"/>
      <c r="E350" s="1568"/>
      <c r="F350" s="1568"/>
      <c r="G350" s="1568"/>
      <c r="H350" s="1568"/>
      <c r="I350" s="1568"/>
      <c r="J350" s="1568"/>
      <c r="K350" s="1568"/>
      <c r="L350" s="1568"/>
      <c r="M350" s="1568"/>
      <c r="N350" s="1568"/>
      <c r="O350" s="1568"/>
    </row>
    <row r="351" spans="1:16">
      <c r="C351" s="736"/>
      <c r="D351" s="737"/>
      <c r="E351" s="737"/>
      <c r="F351" s="737"/>
      <c r="G351" s="731"/>
      <c r="H351" s="731"/>
    </row>
    <row r="352" spans="1:16" ht="20.25">
      <c r="A352" s="738" t="str">
        <f>""&amp;A276&amp;" Worksheet J -  ATRR PROJECTED Calculation for PJM Projects Charged to Benefiting Zones"</f>
        <v xml:space="preserve"> Worksheet J -  ATRR PROJECTED Calculation for PJM Projects Charged to Benefiting Zones</v>
      </c>
      <c r="B352" s="348"/>
      <c r="C352" s="726"/>
      <c r="D352" s="539"/>
      <c r="E352" s="314"/>
      <c r="F352" s="708"/>
      <c r="G352" s="314"/>
      <c r="H352" s="709"/>
      <c r="K352" s="565"/>
      <c r="L352" s="565"/>
      <c r="M352" s="565"/>
      <c r="N352" s="654" t="str">
        <f>"Page "&amp;SUM(P$8:P352)&amp;" of "</f>
        <v xml:space="preserve">Page 5 of </v>
      </c>
      <c r="O352" s="655">
        <f>COUNT(P$8:P$56653)</f>
        <v>12</v>
      </c>
      <c r="P352" s="739">
        <v>1</v>
      </c>
    </row>
    <row r="353" spans="2:16">
      <c r="B353" s="348"/>
      <c r="C353" s="314"/>
      <c r="D353" s="539"/>
      <c r="E353" s="314"/>
      <c r="F353" s="314"/>
      <c r="G353" s="314"/>
      <c r="H353" s="709"/>
      <c r="I353" s="314"/>
      <c r="J353" s="427"/>
      <c r="K353" s="314"/>
      <c r="L353" s="314"/>
      <c r="M353" s="314"/>
      <c r="N353" s="314"/>
      <c r="O353" s="314"/>
      <c r="P353" s="427"/>
    </row>
    <row r="354" spans="2:16" ht="18">
      <c r="B354" s="658" t="s">
        <v>466</v>
      </c>
      <c r="C354" s="740" t="s">
        <v>85</v>
      </c>
      <c r="D354" s="539"/>
      <c r="E354" s="314"/>
      <c r="F354" s="314"/>
      <c r="G354" s="314"/>
      <c r="H354" s="709"/>
      <c r="I354" s="709"/>
      <c r="J354" s="731"/>
      <c r="K354" s="709"/>
      <c r="L354" s="709"/>
      <c r="M354" s="709"/>
      <c r="N354" s="709"/>
      <c r="O354" s="314"/>
    </row>
    <row r="355" spans="2:16" ht="18.75">
      <c r="B355" s="658"/>
      <c r="C355" s="657"/>
      <c r="D355" s="539"/>
      <c r="E355" s="314"/>
      <c r="F355" s="314"/>
      <c r="G355" s="314"/>
      <c r="H355" s="709"/>
      <c r="I355" s="709"/>
      <c r="J355" s="731"/>
      <c r="K355" s="709"/>
      <c r="L355" s="709"/>
      <c r="M355" s="709"/>
      <c r="N355" s="709"/>
      <c r="O355" s="314"/>
    </row>
    <row r="356" spans="2:16" ht="18.75">
      <c r="B356" s="658"/>
      <c r="C356" s="657" t="s">
        <v>86</v>
      </c>
      <c r="D356" s="539"/>
      <c r="E356" s="314"/>
      <c r="F356" s="314"/>
      <c r="G356" s="314"/>
      <c r="H356" s="709"/>
      <c r="I356" s="709"/>
      <c r="J356" s="731"/>
      <c r="K356" s="709"/>
      <c r="L356" s="709"/>
      <c r="M356" s="709"/>
      <c r="N356" s="709"/>
      <c r="O356" s="314"/>
    </row>
    <row r="357" spans="2:16" ht="15.75" thickBot="1">
      <c r="C357" s="240"/>
      <c r="D357" s="539"/>
      <c r="E357" s="314"/>
      <c r="F357" s="314"/>
      <c r="G357" s="314"/>
      <c r="H357" s="709"/>
      <c r="I357" s="709"/>
      <c r="J357" s="731"/>
      <c r="K357" s="709"/>
      <c r="L357" s="709"/>
      <c r="M357" s="709"/>
      <c r="N357" s="709"/>
      <c r="O357" s="314"/>
    </row>
    <row r="358" spans="2:16" ht="15.75">
      <c r="C358" s="660" t="s">
        <v>87</v>
      </c>
      <c r="D358" s="539"/>
      <c r="E358" s="314"/>
      <c r="F358" s="314"/>
      <c r="G358" s="807"/>
      <c r="H358" s="314" t="s">
        <v>66</v>
      </c>
      <c r="I358" s="314"/>
      <c r="J358" s="427"/>
      <c r="K358" s="741" t="s">
        <v>91</v>
      </c>
      <c r="L358" s="742"/>
      <c r="M358" s="743"/>
      <c r="N358" s="744">
        <f>IF(I364=0,0,VLOOKUP(I364,C371:O430,5))</f>
        <v>6614961.740741225</v>
      </c>
      <c r="O358" s="314"/>
    </row>
    <row r="359" spans="2:16" ht="15.75">
      <c r="C359" s="660"/>
      <c r="D359" s="539"/>
      <c r="E359" s="314"/>
      <c r="F359" s="314"/>
      <c r="G359" s="314"/>
      <c r="H359" s="745"/>
      <c r="I359" s="745"/>
      <c r="J359" s="746"/>
      <c r="K359" s="747" t="s">
        <v>92</v>
      </c>
      <c r="L359" s="748"/>
      <c r="M359" s="427"/>
      <c r="N359" s="749">
        <f>IF(I364=0,0,VLOOKUP(I364,C371:O430,6))</f>
        <v>6614961.740741225</v>
      </c>
      <c r="O359" s="314"/>
    </row>
    <row r="360" spans="2:16" ht="13.5" customHeight="1" thickBot="1">
      <c r="C360" s="750" t="s">
        <v>88</v>
      </c>
      <c r="D360" s="1567" t="s">
        <v>814</v>
      </c>
      <c r="E360" s="1567"/>
      <c r="F360" s="1567"/>
      <c r="G360" s="1567"/>
      <c r="H360" s="1567"/>
      <c r="I360" s="1567"/>
      <c r="J360" s="731"/>
      <c r="K360" s="751" t="s">
        <v>230</v>
      </c>
      <c r="L360" s="752"/>
      <c r="M360" s="752"/>
      <c r="N360" s="753">
        <f>+N359-N358</f>
        <v>0</v>
      </c>
      <c r="O360" s="314"/>
    </row>
    <row r="361" spans="2:16">
      <c r="C361" s="754"/>
      <c r="D361" s="1567"/>
      <c r="E361" s="1567"/>
      <c r="F361" s="1567"/>
      <c r="G361" s="1567"/>
      <c r="H361" s="1567"/>
      <c r="I361" s="1567"/>
      <c r="J361" s="731"/>
      <c r="K361" s="709"/>
      <c r="L361" s="709"/>
      <c r="M361" s="709"/>
      <c r="N361" s="709"/>
      <c r="O361" s="314"/>
    </row>
    <row r="362" spans="2:16" ht="13.5" thickBot="1">
      <c r="C362" s="757"/>
      <c r="D362" s="758"/>
      <c r="E362" s="756"/>
      <c r="F362" s="756"/>
      <c r="G362" s="756"/>
      <c r="H362" s="756"/>
      <c r="I362" s="756"/>
      <c r="J362" s="759"/>
      <c r="K362" s="756"/>
      <c r="L362" s="756"/>
      <c r="M362" s="756"/>
      <c r="N362" s="756"/>
      <c r="O362" s="348"/>
    </row>
    <row r="363" spans="2:16" ht="13.5" thickBot="1">
      <c r="C363" s="760" t="s">
        <v>89</v>
      </c>
      <c r="D363" s="761"/>
      <c r="E363" s="761"/>
      <c r="F363" s="761"/>
      <c r="G363" s="761"/>
      <c r="H363" s="761"/>
      <c r="I363" s="762"/>
      <c r="J363" s="763"/>
      <c r="K363" s="314"/>
      <c r="L363" s="314"/>
      <c r="M363" s="314"/>
      <c r="N363" s="314"/>
      <c r="O363" s="764"/>
    </row>
    <row r="364" spans="2:16" ht="15">
      <c r="C364" s="765" t="s">
        <v>67</v>
      </c>
      <c r="D364" s="809">
        <v>56691968</v>
      </c>
      <c r="E364" s="726" t="s">
        <v>68</v>
      </c>
      <c r="G364" s="766"/>
      <c r="H364" s="766"/>
      <c r="I364" s="767">
        <f>$L$26</f>
        <v>2022</v>
      </c>
      <c r="J364" s="555"/>
      <c r="K364" s="1569" t="s">
        <v>239</v>
      </c>
      <c r="L364" s="1569"/>
      <c r="M364" s="1569"/>
      <c r="N364" s="1569"/>
      <c r="O364" s="1569"/>
    </row>
    <row r="365" spans="2:16">
      <c r="C365" s="765" t="s">
        <v>70</v>
      </c>
      <c r="D365" s="810">
        <v>2015</v>
      </c>
      <c r="E365" s="765" t="s">
        <v>71</v>
      </c>
      <c r="F365" s="766"/>
      <c r="H365" s="173"/>
      <c r="I365" s="811">
        <f>IF(G358="",0,$F$17)</f>
        <v>0</v>
      </c>
      <c r="J365" s="768"/>
      <c r="K365" s="731" t="s">
        <v>239</v>
      </c>
    </row>
    <row r="366" spans="2:16">
      <c r="C366" s="765" t="s">
        <v>72</v>
      </c>
      <c r="D366" s="809">
        <v>6</v>
      </c>
      <c r="E366" s="765" t="s">
        <v>73</v>
      </c>
      <c r="F366" s="766"/>
      <c r="H366" s="173"/>
      <c r="I366" s="769">
        <f>$G$70</f>
        <v>0.11129362813814259</v>
      </c>
      <c r="J366" s="770"/>
      <c r="K366" s="173" t="str">
        <f>"          INPUT PROJECTED ARR (WITH &amp; WITHOUT INCENTIVES) FROM EACH PRIOR YEAR"</f>
        <v xml:space="preserve">          INPUT PROJECTED ARR (WITH &amp; WITHOUT INCENTIVES) FROM EACH PRIOR YEAR</v>
      </c>
    </row>
    <row r="367" spans="2:16">
      <c r="C367" s="765" t="s">
        <v>74</v>
      </c>
      <c r="D367" s="771">
        <f>$G$79</f>
        <v>41</v>
      </c>
      <c r="E367" s="765" t="s">
        <v>75</v>
      </c>
      <c r="F367" s="766"/>
      <c r="H367" s="173"/>
      <c r="I367" s="769">
        <f>IF(G358="",I366,$G$69)</f>
        <v>0.11129362813814259</v>
      </c>
      <c r="J367" s="772"/>
      <c r="K367" s="173" t="s">
        <v>152</v>
      </c>
    </row>
    <row r="368" spans="2:16" ht="13.5" thickBot="1">
      <c r="C368" s="765" t="s">
        <v>76</v>
      </c>
      <c r="D368" s="808" t="s">
        <v>811</v>
      </c>
      <c r="E368" s="773" t="s">
        <v>77</v>
      </c>
      <c r="F368" s="774"/>
      <c r="G368" s="775"/>
      <c r="H368" s="775"/>
      <c r="I368" s="753">
        <f>IF(D364=0,0,D364/D367)</f>
        <v>1382730.9268292682</v>
      </c>
      <c r="J368" s="731"/>
      <c r="K368" s="731" t="s">
        <v>158</v>
      </c>
      <c r="L368" s="731"/>
      <c r="M368" s="731"/>
      <c r="N368" s="731"/>
      <c r="O368" s="427"/>
    </row>
    <row r="369" spans="2:15" ht="38.25">
      <c r="B369" s="846"/>
      <c r="C369" s="776" t="s">
        <v>67</v>
      </c>
      <c r="D369" s="777" t="s">
        <v>78</v>
      </c>
      <c r="E369" s="778" t="s">
        <v>79</v>
      </c>
      <c r="F369" s="777" t="s">
        <v>80</v>
      </c>
      <c r="G369" s="778" t="s">
        <v>151</v>
      </c>
      <c r="H369" s="779" t="s">
        <v>151</v>
      </c>
      <c r="I369" s="776" t="s">
        <v>90</v>
      </c>
      <c r="J369" s="780"/>
      <c r="K369" s="778" t="s">
        <v>160</v>
      </c>
      <c r="L369" s="781"/>
      <c r="M369" s="778" t="s">
        <v>160</v>
      </c>
      <c r="N369" s="781"/>
      <c r="O369" s="781"/>
    </row>
    <row r="370" spans="2:15" ht="13.5" thickBot="1">
      <c r="C370" s="782" t="s">
        <v>469</v>
      </c>
      <c r="D370" s="783" t="s">
        <v>470</v>
      </c>
      <c r="E370" s="782" t="s">
        <v>363</v>
      </c>
      <c r="F370" s="783" t="s">
        <v>470</v>
      </c>
      <c r="G370" s="784" t="s">
        <v>93</v>
      </c>
      <c r="H370" s="785" t="s">
        <v>95</v>
      </c>
      <c r="I370" s="786" t="s">
        <v>15</v>
      </c>
      <c r="J370" s="787"/>
      <c r="K370" s="784" t="s">
        <v>82</v>
      </c>
      <c r="L370" s="788"/>
      <c r="M370" s="784" t="s">
        <v>95</v>
      </c>
      <c r="N370" s="788"/>
      <c r="O370" s="788"/>
    </row>
    <row r="371" spans="2:15">
      <c r="C371" s="789">
        <f>IF(D365= "","-",D365)</f>
        <v>2015</v>
      </c>
      <c r="D371" s="737">
        <f>+D364</f>
        <v>56691968</v>
      </c>
      <c r="E371" s="790">
        <f>+I368/12*(12-D366)</f>
        <v>691365.46341463411</v>
      </c>
      <c r="F371" s="737">
        <f>+D371-E371</f>
        <v>56000602.536585368</v>
      </c>
      <c r="G371" s="1001">
        <f>+$I$96*((D371+F371)/2)+E371</f>
        <v>6962347.9830297008</v>
      </c>
      <c r="H371" s="1002">
        <f>$I$97*((D371+F371)/2)+E371</f>
        <v>6962347.9830297008</v>
      </c>
      <c r="I371" s="793">
        <f>+H371-G371</f>
        <v>0</v>
      </c>
      <c r="J371" s="793"/>
      <c r="K371" s="812">
        <v>6946099</v>
      </c>
      <c r="L371" s="794"/>
      <c r="M371" s="812">
        <v>6946099</v>
      </c>
      <c r="N371" s="794"/>
      <c r="O371" s="794"/>
    </row>
    <row r="372" spans="2:15">
      <c r="C372" s="789">
        <f>IF(D365="","-",+C371+1)</f>
        <v>2016</v>
      </c>
      <c r="D372" s="737">
        <f t="shared" ref="D372:D430" si="18">F371</f>
        <v>56000602.536585368</v>
      </c>
      <c r="E372" s="790">
        <f>IF(D372&gt;$I$368,$I$368,D372)</f>
        <v>1382730.9268292682</v>
      </c>
      <c r="F372" s="737">
        <f t="shared" ref="F372:F430" si="19">+D372-E372</f>
        <v>54617871.609756097</v>
      </c>
      <c r="G372" s="795">
        <f t="shared" ref="G372:G430" si="20">+$I$96*((D372+F372)/2)+E372</f>
        <v>7538296.5902551021</v>
      </c>
      <c r="H372" s="796">
        <f t="shared" ref="H372:H430" si="21">$I$97*((D372+F372)/2)+E372</f>
        <v>7538296.5902551021</v>
      </c>
      <c r="I372" s="793">
        <f t="shared" ref="I372:I430" si="22">+H372-G372</f>
        <v>0</v>
      </c>
      <c r="J372" s="793"/>
      <c r="K372" s="813">
        <v>6500748</v>
      </c>
      <c r="L372" s="797"/>
      <c r="M372" s="813">
        <v>6500748</v>
      </c>
      <c r="N372" s="797"/>
      <c r="O372" s="797"/>
    </row>
    <row r="373" spans="2:15">
      <c r="C373" s="789">
        <f>IF(D365="","-",+C372+1)</f>
        <v>2017</v>
      </c>
      <c r="D373" s="737">
        <f t="shared" si="18"/>
        <v>54617871.609756097</v>
      </c>
      <c r="E373" s="790">
        <f t="shared" ref="E373:E430" si="23">IF(D373&gt;$I$368,$I$368,D373)</f>
        <v>1382730.9268292682</v>
      </c>
      <c r="F373" s="737">
        <f t="shared" si="19"/>
        <v>53235140.682926826</v>
      </c>
      <c r="G373" s="795">
        <f t="shared" si="20"/>
        <v>7384407.448669455</v>
      </c>
      <c r="H373" s="796">
        <f t="shared" si="21"/>
        <v>7384407.448669455</v>
      </c>
      <c r="I373" s="793">
        <f t="shared" si="22"/>
        <v>0</v>
      </c>
      <c r="J373" s="793"/>
      <c r="K373" s="813">
        <v>7102318</v>
      </c>
      <c r="L373" s="797"/>
      <c r="M373" s="813">
        <v>7102318</v>
      </c>
      <c r="N373" s="797"/>
      <c r="O373" s="797"/>
    </row>
    <row r="374" spans="2:15">
      <c r="C374" s="1311">
        <f>IF(D365="","-",+C373+1)</f>
        <v>2018</v>
      </c>
      <c r="D374" s="737">
        <f t="shared" si="18"/>
        <v>53235140.682926826</v>
      </c>
      <c r="E374" s="790">
        <f t="shared" si="23"/>
        <v>1382730.9268292682</v>
      </c>
      <c r="F374" s="737">
        <f t="shared" si="19"/>
        <v>51852409.756097555</v>
      </c>
      <c r="G374" s="795">
        <f t="shared" si="20"/>
        <v>7230518.3070838097</v>
      </c>
      <c r="H374" s="796">
        <f t="shared" si="21"/>
        <v>7230518.3070838097</v>
      </c>
      <c r="I374" s="793">
        <f t="shared" si="22"/>
        <v>0</v>
      </c>
      <c r="J374" s="793"/>
      <c r="K374" s="813">
        <v>6178627</v>
      </c>
      <c r="L374" s="797"/>
      <c r="M374" s="813">
        <v>6178627</v>
      </c>
      <c r="N374" s="797"/>
      <c r="O374" s="797"/>
    </row>
    <row r="375" spans="2:15">
      <c r="C375" s="1307">
        <f>IF(D365="","-",+C374+1)</f>
        <v>2019</v>
      </c>
      <c r="D375" s="737">
        <f t="shared" si="18"/>
        <v>51852409.756097555</v>
      </c>
      <c r="E375" s="790">
        <f t="shared" si="23"/>
        <v>1382730.9268292682</v>
      </c>
      <c r="F375" s="737">
        <f t="shared" si="19"/>
        <v>50469678.829268284</v>
      </c>
      <c r="G375" s="795">
        <f t="shared" si="20"/>
        <v>7076629.1654981626</v>
      </c>
      <c r="H375" s="796">
        <f t="shared" si="21"/>
        <v>7076629.1654981626</v>
      </c>
      <c r="I375" s="793">
        <f t="shared" si="22"/>
        <v>0</v>
      </c>
      <c r="J375" s="793"/>
      <c r="K375" s="813"/>
      <c r="L375" s="797"/>
      <c r="M375" s="813"/>
      <c r="N375" s="797"/>
      <c r="O375" s="797"/>
    </row>
    <row r="376" spans="2:15">
      <c r="C376" s="789">
        <f>IF(D365="","-",+C375+1)</f>
        <v>2020</v>
      </c>
      <c r="D376" s="737">
        <f t="shared" si="18"/>
        <v>50469678.829268284</v>
      </c>
      <c r="E376" s="790">
        <f t="shared" si="23"/>
        <v>1382730.9268292682</v>
      </c>
      <c r="F376" s="737">
        <f t="shared" si="19"/>
        <v>49086947.902439013</v>
      </c>
      <c r="G376" s="795">
        <f t="shared" si="20"/>
        <v>6922740.0239125174</v>
      </c>
      <c r="H376" s="796">
        <f t="shared" si="21"/>
        <v>6922740.0239125174</v>
      </c>
      <c r="I376" s="793">
        <f t="shared" si="22"/>
        <v>0</v>
      </c>
      <c r="J376" s="793"/>
      <c r="K376" s="813"/>
      <c r="L376" s="797"/>
      <c r="M376" s="813"/>
      <c r="N376" s="797"/>
      <c r="O376" s="797"/>
    </row>
    <row r="377" spans="2:15">
      <c r="C377" s="789">
        <f>IF(D365="","-",+C376+1)</f>
        <v>2021</v>
      </c>
      <c r="D377" s="737">
        <f t="shared" si="18"/>
        <v>49086947.902439013</v>
      </c>
      <c r="E377" s="790">
        <f t="shared" si="23"/>
        <v>1382730.9268292682</v>
      </c>
      <c r="F377" s="737">
        <f t="shared" si="19"/>
        <v>47704216.975609742</v>
      </c>
      <c r="G377" s="795">
        <f t="shared" si="20"/>
        <v>6768850.8823268702</v>
      </c>
      <c r="H377" s="796">
        <f t="shared" si="21"/>
        <v>6768850.8823268702</v>
      </c>
      <c r="I377" s="793">
        <f t="shared" si="22"/>
        <v>0</v>
      </c>
      <c r="J377" s="793"/>
      <c r="K377" s="813"/>
      <c r="L377" s="797"/>
      <c r="M377" s="813"/>
      <c r="N377" s="797"/>
      <c r="O377" s="797"/>
    </row>
    <row r="378" spans="2:15">
      <c r="C378" s="789">
        <f>IF(D365="","-",+C377+1)</f>
        <v>2022</v>
      </c>
      <c r="D378" s="737">
        <f t="shared" si="18"/>
        <v>47704216.975609742</v>
      </c>
      <c r="E378" s="790">
        <f t="shared" si="23"/>
        <v>1382730.9268292682</v>
      </c>
      <c r="F378" s="737">
        <f t="shared" si="19"/>
        <v>46321486.048780471</v>
      </c>
      <c r="G378" s="795">
        <f t="shared" si="20"/>
        <v>6614961.740741225</v>
      </c>
      <c r="H378" s="796">
        <f t="shared" si="21"/>
        <v>6614961.740741225</v>
      </c>
      <c r="I378" s="793">
        <f t="shared" si="22"/>
        <v>0</v>
      </c>
      <c r="J378" s="793"/>
      <c r="K378" s="813"/>
      <c r="L378" s="797"/>
      <c r="M378" s="813"/>
      <c r="N378" s="797"/>
      <c r="O378" s="797"/>
    </row>
    <row r="379" spans="2:15">
      <c r="C379" s="789">
        <f>IF(D365="","-",+C378+1)</f>
        <v>2023</v>
      </c>
      <c r="D379" s="737">
        <f t="shared" si="18"/>
        <v>46321486.048780471</v>
      </c>
      <c r="E379" s="790">
        <f t="shared" si="23"/>
        <v>1382730.9268292682</v>
      </c>
      <c r="F379" s="737">
        <f t="shared" si="19"/>
        <v>44938755.1219512</v>
      </c>
      <c r="G379" s="795">
        <f t="shared" si="20"/>
        <v>6461072.5991555778</v>
      </c>
      <c r="H379" s="796">
        <f t="shared" si="21"/>
        <v>6461072.5991555778</v>
      </c>
      <c r="I379" s="793">
        <f t="shared" si="22"/>
        <v>0</v>
      </c>
      <c r="J379" s="793"/>
      <c r="K379" s="813"/>
      <c r="L379" s="797"/>
      <c r="M379" s="813"/>
      <c r="N379" s="797"/>
      <c r="O379" s="797"/>
    </row>
    <row r="380" spans="2:15">
      <c r="C380" s="789">
        <f>IF(D365="","-",+C379+1)</f>
        <v>2024</v>
      </c>
      <c r="D380" s="737">
        <f t="shared" si="18"/>
        <v>44938755.1219512</v>
      </c>
      <c r="E380" s="790">
        <f t="shared" si="23"/>
        <v>1382730.9268292682</v>
      </c>
      <c r="F380" s="737">
        <f t="shared" si="19"/>
        <v>43556024.195121929</v>
      </c>
      <c r="G380" s="795">
        <f t="shared" si="20"/>
        <v>6307183.4575699326</v>
      </c>
      <c r="H380" s="796">
        <f t="shared" si="21"/>
        <v>6307183.4575699326</v>
      </c>
      <c r="I380" s="793">
        <f t="shared" si="22"/>
        <v>0</v>
      </c>
      <c r="J380" s="793"/>
      <c r="K380" s="813"/>
      <c r="L380" s="797"/>
      <c r="M380" s="813"/>
      <c r="N380" s="797"/>
      <c r="O380" s="797"/>
    </row>
    <row r="381" spans="2:15">
      <c r="C381" s="789">
        <f>IF(D365="","-",+C380+1)</f>
        <v>2025</v>
      </c>
      <c r="D381" s="737">
        <f t="shared" si="18"/>
        <v>43556024.195121929</v>
      </c>
      <c r="E381" s="790">
        <f t="shared" si="23"/>
        <v>1382730.9268292682</v>
      </c>
      <c r="F381" s="737">
        <f t="shared" si="19"/>
        <v>42173293.268292658</v>
      </c>
      <c r="G381" s="795">
        <f t="shared" si="20"/>
        <v>6153294.3159842864</v>
      </c>
      <c r="H381" s="796">
        <f t="shared" si="21"/>
        <v>6153294.3159842864</v>
      </c>
      <c r="I381" s="793">
        <f t="shared" si="22"/>
        <v>0</v>
      </c>
      <c r="J381" s="793"/>
      <c r="K381" s="813"/>
      <c r="L381" s="797"/>
      <c r="M381" s="813"/>
      <c r="N381" s="797"/>
      <c r="O381" s="797"/>
    </row>
    <row r="382" spans="2:15">
      <c r="C382" s="789">
        <f>IF(D365="","-",+C381+1)</f>
        <v>2026</v>
      </c>
      <c r="D382" s="737">
        <f t="shared" si="18"/>
        <v>42173293.268292658</v>
      </c>
      <c r="E382" s="790">
        <f t="shared" si="23"/>
        <v>1382730.9268292682</v>
      </c>
      <c r="F382" s="737">
        <f t="shared" si="19"/>
        <v>40790562.341463387</v>
      </c>
      <c r="G382" s="795">
        <f t="shared" si="20"/>
        <v>5999405.1743986411</v>
      </c>
      <c r="H382" s="796">
        <f t="shared" si="21"/>
        <v>5999405.1743986411</v>
      </c>
      <c r="I382" s="793">
        <f t="shared" si="22"/>
        <v>0</v>
      </c>
      <c r="J382" s="793"/>
      <c r="K382" s="813"/>
      <c r="L382" s="797"/>
      <c r="M382" s="813"/>
      <c r="N382" s="797"/>
      <c r="O382" s="797"/>
    </row>
    <row r="383" spans="2:15">
      <c r="C383" s="789">
        <f>IF(D365="","-",+C382+1)</f>
        <v>2027</v>
      </c>
      <c r="D383" s="737">
        <f t="shared" si="18"/>
        <v>40790562.341463387</v>
      </c>
      <c r="E383" s="790">
        <f t="shared" si="23"/>
        <v>1382730.9268292682</v>
      </c>
      <c r="F383" s="737">
        <f t="shared" si="19"/>
        <v>39407831.414634116</v>
      </c>
      <c r="G383" s="795">
        <f t="shared" si="20"/>
        <v>5845516.032812994</v>
      </c>
      <c r="H383" s="796">
        <f t="shared" si="21"/>
        <v>5845516.032812994</v>
      </c>
      <c r="I383" s="793">
        <f t="shared" si="22"/>
        <v>0</v>
      </c>
      <c r="J383" s="793"/>
      <c r="K383" s="813"/>
      <c r="L383" s="797"/>
      <c r="M383" s="813"/>
      <c r="N383" s="798"/>
      <c r="O383" s="797"/>
    </row>
    <row r="384" spans="2:15">
      <c r="C384" s="789">
        <f>IF(D365="","-",+C383+1)</f>
        <v>2028</v>
      </c>
      <c r="D384" s="737">
        <f t="shared" si="18"/>
        <v>39407831.414634116</v>
      </c>
      <c r="E384" s="790">
        <f t="shared" si="23"/>
        <v>1382730.9268292682</v>
      </c>
      <c r="F384" s="737">
        <f t="shared" si="19"/>
        <v>38025100.487804845</v>
      </c>
      <c r="G384" s="795">
        <f t="shared" si="20"/>
        <v>5691626.8912273487</v>
      </c>
      <c r="H384" s="796">
        <f t="shared" si="21"/>
        <v>5691626.8912273487</v>
      </c>
      <c r="I384" s="793">
        <f t="shared" si="22"/>
        <v>0</v>
      </c>
      <c r="J384" s="793"/>
      <c r="K384" s="813"/>
      <c r="L384" s="797"/>
      <c r="M384" s="813"/>
      <c r="N384" s="797"/>
      <c r="O384" s="797"/>
    </row>
    <row r="385" spans="3:15">
      <c r="C385" s="789">
        <f>IF(D365="","-",+C384+1)</f>
        <v>2029</v>
      </c>
      <c r="D385" s="737">
        <f t="shared" si="18"/>
        <v>38025100.487804845</v>
      </c>
      <c r="E385" s="790">
        <f t="shared" si="23"/>
        <v>1382730.9268292682</v>
      </c>
      <c r="F385" s="737">
        <f t="shared" si="19"/>
        <v>36642369.560975574</v>
      </c>
      <c r="G385" s="795">
        <f t="shared" si="20"/>
        <v>5537737.7496417016</v>
      </c>
      <c r="H385" s="796">
        <f t="shared" si="21"/>
        <v>5537737.7496417016</v>
      </c>
      <c r="I385" s="793">
        <f t="shared" si="22"/>
        <v>0</v>
      </c>
      <c r="J385" s="793"/>
      <c r="K385" s="813"/>
      <c r="L385" s="797"/>
      <c r="M385" s="813"/>
      <c r="N385" s="797"/>
      <c r="O385" s="797"/>
    </row>
    <row r="386" spans="3:15">
      <c r="C386" s="789">
        <f>IF(D365="","-",+C385+1)</f>
        <v>2030</v>
      </c>
      <c r="D386" s="737">
        <f t="shared" si="18"/>
        <v>36642369.560975574</v>
      </c>
      <c r="E386" s="790">
        <f t="shared" si="23"/>
        <v>1382730.9268292682</v>
      </c>
      <c r="F386" s="737">
        <f t="shared" si="19"/>
        <v>35259638.634146303</v>
      </c>
      <c r="G386" s="795">
        <f t="shared" si="20"/>
        <v>5383848.6080560563</v>
      </c>
      <c r="H386" s="796">
        <f t="shared" si="21"/>
        <v>5383848.6080560563</v>
      </c>
      <c r="I386" s="793">
        <f t="shared" si="22"/>
        <v>0</v>
      </c>
      <c r="J386" s="793"/>
      <c r="K386" s="813"/>
      <c r="L386" s="797"/>
      <c r="M386" s="813"/>
      <c r="N386" s="797"/>
      <c r="O386" s="797"/>
    </row>
    <row r="387" spans="3:15">
      <c r="C387" s="789">
        <f>IF(D365="","-",+C386+1)</f>
        <v>2031</v>
      </c>
      <c r="D387" s="737">
        <f t="shared" si="18"/>
        <v>35259638.634146303</v>
      </c>
      <c r="E387" s="790">
        <f t="shared" si="23"/>
        <v>1382730.9268292682</v>
      </c>
      <c r="F387" s="737">
        <f t="shared" si="19"/>
        <v>33876907.707317032</v>
      </c>
      <c r="G387" s="795">
        <f t="shared" si="20"/>
        <v>5229959.4664704092</v>
      </c>
      <c r="H387" s="796">
        <f t="shared" si="21"/>
        <v>5229959.4664704092</v>
      </c>
      <c r="I387" s="793">
        <f t="shared" si="22"/>
        <v>0</v>
      </c>
      <c r="J387" s="793"/>
      <c r="K387" s="813"/>
      <c r="L387" s="797"/>
      <c r="M387" s="813"/>
      <c r="N387" s="797"/>
      <c r="O387" s="797"/>
    </row>
    <row r="388" spans="3:15">
      <c r="C388" s="789">
        <f>IF(D365="","-",+C387+1)</f>
        <v>2032</v>
      </c>
      <c r="D388" s="737">
        <f t="shared" si="18"/>
        <v>33876907.707317032</v>
      </c>
      <c r="E388" s="790">
        <f t="shared" si="23"/>
        <v>1382730.9268292682</v>
      </c>
      <c r="F388" s="737">
        <f t="shared" si="19"/>
        <v>32494176.780487765</v>
      </c>
      <c r="G388" s="795">
        <f t="shared" si="20"/>
        <v>5076070.3248847639</v>
      </c>
      <c r="H388" s="796">
        <f t="shared" si="21"/>
        <v>5076070.3248847639</v>
      </c>
      <c r="I388" s="793">
        <f t="shared" si="22"/>
        <v>0</v>
      </c>
      <c r="J388" s="793"/>
      <c r="K388" s="813"/>
      <c r="L388" s="797"/>
      <c r="M388" s="813"/>
      <c r="N388" s="797"/>
      <c r="O388" s="797"/>
    </row>
    <row r="389" spans="3:15">
      <c r="C389" s="789">
        <f>IF(D365="","-",+C388+1)</f>
        <v>2033</v>
      </c>
      <c r="D389" s="737">
        <f t="shared" si="18"/>
        <v>32494176.780487765</v>
      </c>
      <c r="E389" s="790">
        <f t="shared" si="23"/>
        <v>1382730.9268292682</v>
      </c>
      <c r="F389" s="737">
        <f t="shared" si="19"/>
        <v>31111445.853658497</v>
      </c>
      <c r="G389" s="795">
        <f t="shared" si="20"/>
        <v>4922181.1832991177</v>
      </c>
      <c r="H389" s="796">
        <f t="shared" si="21"/>
        <v>4922181.1832991177</v>
      </c>
      <c r="I389" s="793">
        <f t="shared" si="22"/>
        <v>0</v>
      </c>
      <c r="J389" s="793"/>
      <c r="K389" s="813"/>
      <c r="L389" s="797"/>
      <c r="M389" s="813"/>
      <c r="N389" s="797"/>
      <c r="O389" s="797"/>
    </row>
    <row r="390" spans="3:15">
      <c r="C390" s="789">
        <f>IF(D365="","-",+C389+1)</f>
        <v>2034</v>
      </c>
      <c r="D390" s="737">
        <f t="shared" si="18"/>
        <v>31111445.853658497</v>
      </c>
      <c r="E390" s="790">
        <f t="shared" si="23"/>
        <v>1382730.9268292682</v>
      </c>
      <c r="F390" s="737">
        <f t="shared" si="19"/>
        <v>29728714.92682923</v>
      </c>
      <c r="G390" s="795">
        <f t="shared" si="20"/>
        <v>4768292.0417134725</v>
      </c>
      <c r="H390" s="796">
        <f t="shared" si="21"/>
        <v>4768292.0417134725</v>
      </c>
      <c r="I390" s="793">
        <f t="shared" si="22"/>
        <v>0</v>
      </c>
      <c r="J390" s="793"/>
      <c r="K390" s="813"/>
      <c r="L390" s="797"/>
      <c r="M390" s="813"/>
      <c r="N390" s="797"/>
      <c r="O390" s="797"/>
    </row>
    <row r="391" spans="3:15">
      <c r="C391" s="789">
        <f>IF(D365="","-",+C390+1)</f>
        <v>2035</v>
      </c>
      <c r="D391" s="737">
        <f t="shared" si="18"/>
        <v>29728714.92682923</v>
      </c>
      <c r="E391" s="790">
        <f t="shared" si="23"/>
        <v>1382730.9268292682</v>
      </c>
      <c r="F391" s="737">
        <f t="shared" si="19"/>
        <v>28345983.999999963</v>
      </c>
      <c r="G391" s="795">
        <f t="shared" si="20"/>
        <v>4614402.9001278263</v>
      </c>
      <c r="H391" s="796">
        <f t="shared" si="21"/>
        <v>4614402.9001278263</v>
      </c>
      <c r="I391" s="793">
        <f t="shared" si="22"/>
        <v>0</v>
      </c>
      <c r="J391" s="793"/>
      <c r="K391" s="813"/>
      <c r="L391" s="797"/>
      <c r="M391" s="813"/>
      <c r="N391" s="797"/>
      <c r="O391" s="797"/>
    </row>
    <row r="392" spans="3:15">
      <c r="C392" s="789">
        <f>IF(D365="","-",+C391+1)</f>
        <v>2036</v>
      </c>
      <c r="D392" s="737">
        <f t="shared" si="18"/>
        <v>28345983.999999963</v>
      </c>
      <c r="E392" s="790">
        <f t="shared" si="23"/>
        <v>1382730.9268292682</v>
      </c>
      <c r="F392" s="737">
        <f t="shared" si="19"/>
        <v>26963253.073170695</v>
      </c>
      <c r="G392" s="795">
        <f t="shared" si="20"/>
        <v>4460513.758542181</v>
      </c>
      <c r="H392" s="796">
        <f t="shared" si="21"/>
        <v>4460513.758542181</v>
      </c>
      <c r="I392" s="793">
        <f t="shared" si="22"/>
        <v>0</v>
      </c>
      <c r="J392" s="793"/>
      <c r="K392" s="813"/>
      <c r="L392" s="797"/>
      <c r="M392" s="813"/>
      <c r="N392" s="797"/>
      <c r="O392" s="797"/>
    </row>
    <row r="393" spans="3:15">
      <c r="C393" s="789">
        <f>IF(D365="","-",+C392+1)</f>
        <v>2037</v>
      </c>
      <c r="D393" s="737">
        <f t="shared" si="18"/>
        <v>26963253.073170695</v>
      </c>
      <c r="E393" s="790">
        <f t="shared" si="23"/>
        <v>1382730.9268292682</v>
      </c>
      <c r="F393" s="737">
        <f t="shared" si="19"/>
        <v>25580522.146341428</v>
      </c>
      <c r="G393" s="795">
        <f t="shared" si="20"/>
        <v>4306624.6169565348</v>
      </c>
      <c r="H393" s="796">
        <f t="shared" si="21"/>
        <v>4306624.6169565348</v>
      </c>
      <c r="I393" s="793">
        <f t="shared" si="22"/>
        <v>0</v>
      </c>
      <c r="J393" s="793"/>
      <c r="K393" s="813"/>
      <c r="L393" s="797"/>
      <c r="M393" s="813"/>
      <c r="N393" s="797"/>
      <c r="O393" s="797"/>
    </row>
    <row r="394" spans="3:15">
      <c r="C394" s="789">
        <f>IF(D365="","-",+C393+1)</f>
        <v>2038</v>
      </c>
      <c r="D394" s="737">
        <f t="shared" si="18"/>
        <v>25580522.146341428</v>
      </c>
      <c r="E394" s="790">
        <f t="shared" si="23"/>
        <v>1382730.9268292682</v>
      </c>
      <c r="F394" s="737">
        <f t="shared" si="19"/>
        <v>24197791.219512161</v>
      </c>
      <c r="G394" s="795">
        <f t="shared" si="20"/>
        <v>4152735.4753708895</v>
      </c>
      <c r="H394" s="796">
        <f t="shared" si="21"/>
        <v>4152735.4753708895</v>
      </c>
      <c r="I394" s="793">
        <f t="shared" si="22"/>
        <v>0</v>
      </c>
      <c r="J394" s="793"/>
      <c r="K394" s="813"/>
      <c r="L394" s="797"/>
      <c r="M394" s="813"/>
      <c r="N394" s="797"/>
      <c r="O394" s="797"/>
    </row>
    <row r="395" spans="3:15">
      <c r="C395" s="789">
        <f>IF(D365="","-",+C394+1)</f>
        <v>2039</v>
      </c>
      <c r="D395" s="737">
        <f t="shared" si="18"/>
        <v>24197791.219512161</v>
      </c>
      <c r="E395" s="790">
        <f t="shared" si="23"/>
        <v>1382730.9268292682</v>
      </c>
      <c r="F395" s="737">
        <f t="shared" si="19"/>
        <v>22815060.292682894</v>
      </c>
      <c r="G395" s="795">
        <f t="shared" si="20"/>
        <v>3998846.3337852433</v>
      </c>
      <c r="H395" s="796">
        <f t="shared" si="21"/>
        <v>3998846.3337852433</v>
      </c>
      <c r="I395" s="793">
        <f t="shared" si="22"/>
        <v>0</v>
      </c>
      <c r="J395" s="793"/>
      <c r="K395" s="813"/>
      <c r="L395" s="797"/>
      <c r="M395" s="813"/>
      <c r="N395" s="797"/>
      <c r="O395" s="797"/>
    </row>
    <row r="396" spans="3:15">
      <c r="C396" s="789">
        <f>IF(D365="","-",+C395+1)</f>
        <v>2040</v>
      </c>
      <c r="D396" s="737">
        <f t="shared" si="18"/>
        <v>22815060.292682894</v>
      </c>
      <c r="E396" s="790">
        <f t="shared" si="23"/>
        <v>1382730.9268292682</v>
      </c>
      <c r="F396" s="737">
        <f t="shared" si="19"/>
        <v>21432329.365853626</v>
      </c>
      <c r="G396" s="795">
        <f t="shared" si="20"/>
        <v>3844957.1921995981</v>
      </c>
      <c r="H396" s="796">
        <f t="shared" si="21"/>
        <v>3844957.1921995981</v>
      </c>
      <c r="I396" s="793">
        <f t="shared" si="22"/>
        <v>0</v>
      </c>
      <c r="J396" s="793"/>
      <c r="K396" s="813"/>
      <c r="L396" s="797"/>
      <c r="M396" s="813"/>
      <c r="N396" s="797"/>
      <c r="O396" s="797"/>
    </row>
    <row r="397" spans="3:15">
      <c r="C397" s="789">
        <f>IF(D365="","-",+C396+1)</f>
        <v>2041</v>
      </c>
      <c r="D397" s="737">
        <f t="shared" si="18"/>
        <v>21432329.365853626</v>
      </c>
      <c r="E397" s="790">
        <f t="shared" si="23"/>
        <v>1382730.9268292682</v>
      </c>
      <c r="F397" s="737">
        <f t="shared" si="19"/>
        <v>20049598.439024359</v>
      </c>
      <c r="G397" s="795">
        <f t="shared" si="20"/>
        <v>3691068.0506139519</v>
      </c>
      <c r="H397" s="796">
        <f t="shared" si="21"/>
        <v>3691068.0506139519</v>
      </c>
      <c r="I397" s="793">
        <f t="shared" si="22"/>
        <v>0</v>
      </c>
      <c r="J397" s="793"/>
      <c r="K397" s="813"/>
      <c r="L397" s="797"/>
      <c r="M397" s="813"/>
      <c r="N397" s="797"/>
      <c r="O397" s="797"/>
    </row>
    <row r="398" spans="3:15">
      <c r="C398" s="789">
        <f>IF(D365="","-",+C397+1)</f>
        <v>2042</v>
      </c>
      <c r="D398" s="737">
        <f t="shared" si="18"/>
        <v>20049598.439024359</v>
      </c>
      <c r="E398" s="790">
        <f t="shared" si="23"/>
        <v>1382730.9268292682</v>
      </c>
      <c r="F398" s="737">
        <f t="shared" si="19"/>
        <v>18666867.512195092</v>
      </c>
      <c r="G398" s="795">
        <f t="shared" si="20"/>
        <v>3537178.9090283066</v>
      </c>
      <c r="H398" s="796">
        <f t="shared" si="21"/>
        <v>3537178.9090283066</v>
      </c>
      <c r="I398" s="793">
        <f t="shared" si="22"/>
        <v>0</v>
      </c>
      <c r="J398" s="793"/>
      <c r="K398" s="813"/>
      <c r="L398" s="797"/>
      <c r="M398" s="813"/>
      <c r="N398" s="797"/>
      <c r="O398" s="797"/>
    </row>
    <row r="399" spans="3:15">
      <c r="C399" s="789">
        <f>IF(D365="","-",+C398+1)</f>
        <v>2043</v>
      </c>
      <c r="D399" s="737">
        <f t="shared" si="18"/>
        <v>18666867.512195092</v>
      </c>
      <c r="E399" s="790">
        <f t="shared" si="23"/>
        <v>1382730.9268292682</v>
      </c>
      <c r="F399" s="737">
        <f t="shared" si="19"/>
        <v>17284136.585365824</v>
      </c>
      <c r="G399" s="791">
        <f t="shared" si="20"/>
        <v>3383289.7674426604</v>
      </c>
      <c r="H399" s="796">
        <f t="shared" si="21"/>
        <v>3383289.7674426604</v>
      </c>
      <c r="I399" s="793">
        <f t="shared" si="22"/>
        <v>0</v>
      </c>
      <c r="J399" s="793"/>
      <c r="K399" s="813"/>
      <c r="L399" s="797"/>
      <c r="M399" s="813"/>
      <c r="N399" s="797"/>
      <c r="O399" s="797"/>
    </row>
    <row r="400" spans="3:15">
      <c r="C400" s="789">
        <f>IF(D365="","-",+C399+1)</f>
        <v>2044</v>
      </c>
      <c r="D400" s="737">
        <f t="shared" si="18"/>
        <v>17284136.585365824</v>
      </c>
      <c r="E400" s="790">
        <f t="shared" si="23"/>
        <v>1382730.9268292682</v>
      </c>
      <c r="F400" s="737">
        <f t="shared" si="19"/>
        <v>15901405.658536557</v>
      </c>
      <c r="G400" s="795">
        <f t="shared" si="20"/>
        <v>3229400.6258570151</v>
      </c>
      <c r="H400" s="796">
        <f t="shared" si="21"/>
        <v>3229400.6258570151</v>
      </c>
      <c r="I400" s="793">
        <f t="shared" si="22"/>
        <v>0</v>
      </c>
      <c r="J400" s="793"/>
      <c r="K400" s="813"/>
      <c r="L400" s="797"/>
      <c r="M400" s="813"/>
      <c r="N400" s="797"/>
      <c r="O400" s="797"/>
    </row>
    <row r="401" spans="3:15">
      <c r="C401" s="789">
        <f>IF(D365="","-",+C400+1)</f>
        <v>2045</v>
      </c>
      <c r="D401" s="737">
        <f t="shared" si="18"/>
        <v>15901405.658536557</v>
      </c>
      <c r="E401" s="790">
        <f t="shared" si="23"/>
        <v>1382730.9268292682</v>
      </c>
      <c r="F401" s="737">
        <f t="shared" si="19"/>
        <v>14518674.73170729</v>
      </c>
      <c r="G401" s="795">
        <f t="shared" si="20"/>
        <v>3075511.4842713689</v>
      </c>
      <c r="H401" s="796">
        <f t="shared" si="21"/>
        <v>3075511.4842713689</v>
      </c>
      <c r="I401" s="793">
        <f t="shared" si="22"/>
        <v>0</v>
      </c>
      <c r="J401" s="793"/>
      <c r="K401" s="813"/>
      <c r="L401" s="797"/>
      <c r="M401" s="813"/>
      <c r="N401" s="797"/>
      <c r="O401" s="797"/>
    </row>
    <row r="402" spans="3:15">
      <c r="C402" s="789">
        <f>IF(D365="","-",+C401+1)</f>
        <v>2046</v>
      </c>
      <c r="D402" s="737">
        <f t="shared" si="18"/>
        <v>14518674.73170729</v>
      </c>
      <c r="E402" s="790">
        <f t="shared" si="23"/>
        <v>1382730.9268292682</v>
      </c>
      <c r="F402" s="737">
        <f t="shared" si="19"/>
        <v>13135943.804878023</v>
      </c>
      <c r="G402" s="795">
        <f t="shared" si="20"/>
        <v>2921622.3426857237</v>
      </c>
      <c r="H402" s="796">
        <f t="shared" si="21"/>
        <v>2921622.3426857237</v>
      </c>
      <c r="I402" s="793">
        <f t="shared" si="22"/>
        <v>0</v>
      </c>
      <c r="J402" s="793"/>
      <c r="K402" s="813"/>
      <c r="L402" s="797"/>
      <c r="M402" s="813"/>
      <c r="N402" s="797"/>
      <c r="O402" s="797"/>
    </row>
    <row r="403" spans="3:15">
      <c r="C403" s="789">
        <f>IF(D365="","-",+C402+1)</f>
        <v>2047</v>
      </c>
      <c r="D403" s="737">
        <f t="shared" si="18"/>
        <v>13135943.804878023</v>
      </c>
      <c r="E403" s="790">
        <f t="shared" si="23"/>
        <v>1382730.9268292682</v>
      </c>
      <c r="F403" s="737">
        <f t="shared" si="19"/>
        <v>11753212.878048755</v>
      </c>
      <c r="G403" s="795">
        <f t="shared" si="20"/>
        <v>2767733.2011000779</v>
      </c>
      <c r="H403" s="796">
        <f t="shared" si="21"/>
        <v>2767733.2011000779</v>
      </c>
      <c r="I403" s="793">
        <f t="shared" si="22"/>
        <v>0</v>
      </c>
      <c r="J403" s="793"/>
      <c r="K403" s="813"/>
      <c r="L403" s="797"/>
      <c r="M403" s="813"/>
      <c r="N403" s="797"/>
      <c r="O403" s="797"/>
    </row>
    <row r="404" spans="3:15">
      <c r="C404" s="789">
        <f>IF(D365="","-",+C403+1)</f>
        <v>2048</v>
      </c>
      <c r="D404" s="737">
        <f t="shared" si="18"/>
        <v>11753212.878048755</v>
      </c>
      <c r="E404" s="790">
        <f t="shared" si="23"/>
        <v>1382730.9268292682</v>
      </c>
      <c r="F404" s="737">
        <f t="shared" si="19"/>
        <v>10370481.951219488</v>
      </c>
      <c r="G404" s="795">
        <f t="shared" si="20"/>
        <v>2613844.0595144322</v>
      </c>
      <c r="H404" s="796">
        <f t="shared" si="21"/>
        <v>2613844.0595144322</v>
      </c>
      <c r="I404" s="793">
        <f t="shared" si="22"/>
        <v>0</v>
      </c>
      <c r="J404" s="793"/>
      <c r="K404" s="813"/>
      <c r="L404" s="797"/>
      <c r="M404" s="813"/>
      <c r="N404" s="797"/>
      <c r="O404" s="797"/>
    </row>
    <row r="405" spans="3:15">
      <c r="C405" s="789">
        <f>IF(D365="","-",+C404+1)</f>
        <v>2049</v>
      </c>
      <c r="D405" s="737">
        <f t="shared" si="18"/>
        <v>10370481.951219488</v>
      </c>
      <c r="E405" s="790">
        <f t="shared" si="23"/>
        <v>1382730.9268292682</v>
      </c>
      <c r="F405" s="737">
        <f t="shared" si="19"/>
        <v>8987751.0243902206</v>
      </c>
      <c r="G405" s="795">
        <f t="shared" si="20"/>
        <v>2459954.9179287865</v>
      </c>
      <c r="H405" s="796">
        <f t="shared" si="21"/>
        <v>2459954.9179287865</v>
      </c>
      <c r="I405" s="793">
        <f t="shared" si="22"/>
        <v>0</v>
      </c>
      <c r="J405" s="793"/>
      <c r="K405" s="813"/>
      <c r="L405" s="797"/>
      <c r="M405" s="813"/>
      <c r="N405" s="797"/>
      <c r="O405" s="797"/>
    </row>
    <row r="406" spans="3:15">
      <c r="C406" s="789">
        <f>IF(D365="","-",+C405+1)</f>
        <v>2050</v>
      </c>
      <c r="D406" s="737">
        <f t="shared" si="18"/>
        <v>8987751.0243902206</v>
      </c>
      <c r="E406" s="790">
        <f t="shared" si="23"/>
        <v>1382730.9268292682</v>
      </c>
      <c r="F406" s="737">
        <f t="shared" si="19"/>
        <v>7605020.0975609524</v>
      </c>
      <c r="G406" s="795">
        <f t="shared" si="20"/>
        <v>2306065.7763431408</v>
      </c>
      <c r="H406" s="796">
        <f t="shared" si="21"/>
        <v>2306065.7763431408</v>
      </c>
      <c r="I406" s="793">
        <f t="shared" si="22"/>
        <v>0</v>
      </c>
      <c r="J406" s="793"/>
      <c r="K406" s="813"/>
      <c r="L406" s="797"/>
      <c r="M406" s="813"/>
      <c r="N406" s="797"/>
      <c r="O406" s="797"/>
    </row>
    <row r="407" spans="3:15">
      <c r="C407" s="789">
        <f>IF(D365="","-",+C406+1)</f>
        <v>2051</v>
      </c>
      <c r="D407" s="737">
        <f t="shared" si="18"/>
        <v>7605020.0975609524</v>
      </c>
      <c r="E407" s="790">
        <f t="shared" si="23"/>
        <v>1382730.9268292682</v>
      </c>
      <c r="F407" s="737">
        <f t="shared" si="19"/>
        <v>6222289.1707316842</v>
      </c>
      <c r="G407" s="795">
        <f t="shared" si="20"/>
        <v>2152176.6347574946</v>
      </c>
      <c r="H407" s="796">
        <f t="shared" si="21"/>
        <v>2152176.6347574946</v>
      </c>
      <c r="I407" s="793">
        <f t="shared" si="22"/>
        <v>0</v>
      </c>
      <c r="J407" s="793"/>
      <c r="K407" s="813"/>
      <c r="L407" s="797"/>
      <c r="M407" s="813"/>
      <c r="N407" s="797"/>
      <c r="O407" s="797"/>
    </row>
    <row r="408" spans="3:15">
      <c r="C408" s="789">
        <f>IF(D365="","-",+C407+1)</f>
        <v>2052</v>
      </c>
      <c r="D408" s="737">
        <f t="shared" si="18"/>
        <v>6222289.1707316842</v>
      </c>
      <c r="E408" s="790">
        <f t="shared" si="23"/>
        <v>1382730.9268292682</v>
      </c>
      <c r="F408" s="737">
        <f t="shared" si="19"/>
        <v>4839558.243902416</v>
      </c>
      <c r="G408" s="795">
        <f t="shared" si="20"/>
        <v>1998287.4931718491</v>
      </c>
      <c r="H408" s="796">
        <f t="shared" si="21"/>
        <v>1998287.4931718491</v>
      </c>
      <c r="I408" s="793">
        <f t="shared" si="22"/>
        <v>0</v>
      </c>
      <c r="J408" s="793"/>
      <c r="K408" s="813"/>
      <c r="L408" s="797"/>
      <c r="M408" s="813"/>
      <c r="N408" s="797"/>
      <c r="O408" s="797"/>
    </row>
    <row r="409" spans="3:15">
      <c r="C409" s="789">
        <f>IF(D365="","-",+C408+1)</f>
        <v>2053</v>
      </c>
      <c r="D409" s="737">
        <f t="shared" si="18"/>
        <v>4839558.243902416</v>
      </c>
      <c r="E409" s="790">
        <f t="shared" si="23"/>
        <v>1382730.9268292682</v>
      </c>
      <c r="F409" s="737">
        <f t="shared" si="19"/>
        <v>3456827.3170731477</v>
      </c>
      <c r="G409" s="795">
        <f t="shared" si="20"/>
        <v>1844398.3515862031</v>
      </c>
      <c r="H409" s="796">
        <f t="shared" si="21"/>
        <v>1844398.3515862031</v>
      </c>
      <c r="I409" s="793">
        <f t="shared" si="22"/>
        <v>0</v>
      </c>
      <c r="J409" s="793"/>
      <c r="K409" s="813"/>
      <c r="L409" s="797"/>
      <c r="M409" s="813"/>
      <c r="N409" s="797"/>
      <c r="O409" s="797"/>
    </row>
    <row r="410" spans="3:15">
      <c r="C410" s="789">
        <f>IF(D365="","-",+C409+1)</f>
        <v>2054</v>
      </c>
      <c r="D410" s="737">
        <f t="shared" si="18"/>
        <v>3456827.3170731477</v>
      </c>
      <c r="E410" s="790">
        <f t="shared" si="23"/>
        <v>1382730.9268292682</v>
      </c>
      <c r="F410" s="737">
        <f t="shared" si="19"/>
        <v>2074096.3902438795</v>
      </c>
      <c r="G410" s="795">
        <f t="shared" si="20"/>
        <v>1690509.2100005574</v>
      </c>
      <c r="H410" s="796">
        <f t="shared" si="21"/>
        <v>1690509.2100005574</v>
      </c>
      <c r="I410" s="793">
        <f t="shared" si="22"/>
        <v>0</v>
      </c>
      <c r="J410" s="793"/>
      <c r="K410" s="813"/>
      <c r="L410" s="797"/>
      <c r="M410" s="813"/>
      <c r="N410" s="797"/>
      <c r="O410" s="797"/>
    </row>
    <row r="411" spans="3:15">
      <c r="C411" s="789">
        <f>IF(D365="","-",+C410+1)</f>
        <v>2055</v>
      </c>
      <c r="D411" s="737">
        <f t="shared" si="18"/>
        <v>2074096.3902438795</v>
      </c>
      <c r="E411" s="790">
        <f t="shared" si="23"/>
        <v>1382730.9268292682</v>
      </c>
      <c r="F411" s="737">
        <f t="shared" si="19"/>
        <v>691365.46341461129</v>
      </c>
      <c r="G411" s="795">
        <f t="shared" si="20"/>
        <v>1536620.0684149116</v>
      </c>
      <c r="H411" s="796">
        <f t="shared" si="21"/>
        <v>1536620.0684149116</v>
      </c>
      <c r="I411" s="793">
        <f t="shared" si="22"/>
        <v>0</v>
      </c>
      <c r="J411" s="793"/>
      <c r="K411" s="813"/>
      <c r="L411" s="797"/>
      <c r="M411" s="813"/>
      <c r="N411" s="797"/>
      <c r="O411" s="797"/>
    </row>
    <row r="412" spans="3:15">
      <c r="C412" s="789">
        <f>IF(D365="","-",+C411+1)</f>
        <v>2056</v>
      </c>
      <c r="D412" s="737">
        <f t="shared" si="18"/>
        <v>691365.46341461129</v>
      </c>
      <c r="E412" s="790">
        <f t="shared" si="23"/>
        <v>691365.46341461129</v>
      </c>
      <c r="F412" s="737">
        <f t="shared" si="19"/>
        <v>0</v>
      </c>
      <c r="G412" s="795">
        <f t="shared" si="20"/>
        <v>729837.74881102145</v>
      </c>
      <c r="H412" s="796">
        <f t="shared" si="21"/>
        <v>729837.74881102145</v>
      </c>
      <c r="I412" s="793">
        <f t="shared" si="22"/>
        <v>0</v>
      </c>
      <c r="J412" s="793"/>
      <c r="K412" s="813"/>
      <c r="L412" s="797"/>
      <c r="M412" s="813"/>
      <c r="N412" s="797"/>
      <c r="O412" s="797"/>
    </row>
    <row r="413" spans="3:15">
      <c r="C413" s="789">
        <f>IF(D365="","-",+C412+1)</f>
        <v>2057</v>
      </c>
      <c r="D413" s="737">
        <f t="shared" si="18"/>
        <v>0</v>
      </c>
      <c r="E413" s="790">
        <f t="shared" si="23"/>
        <v>0</v>
      </c>
      <c r="F413" s="737">
        <f t="shared" si="19"/>
        <v>0</v>
      </c>
      <c r="G413" s="795">
        <f t="shared" si="20"/>
        <v>0</v>
      </c>
      <c r="H413" s="796">
        <f t="shared" si="21"/>
        <v>0</v>
      </c>
      <c r="I413" s="793">
        <f t="shared" si="22"/>
        <v>0</v>
      </c>
      <c r="J413" s="793"/>
      <c r="K413" s="813"/>
      <c r="L413" s="797"/>
      <c r="M413" s="813"/>
      <c r="N413" s="797"/>
      <c r="O413" s="797"/>
    </row>
    <row r="414" spans="3:15">
      <c r="C414" s="789">
        <f>IF(D365="","-",+C413+1)</f>
        <v>2058</v>
      </c>
      <c r="D414" s="737">
        <f t="shared" si="18"/>
        <v>0</v>
      </c>
      <c r="E414" s="790">
        <f t="shared" si="23"/>
        <v>0</v>
      </c>
      <c r="F414" s="737">
        <f t="shared" si="19"/>
        <v>0</v>
      </c>
      <c r="G414" s="795">
        <f t="shared" si="20"/>
        <v>0</v>
      </c>
      <c r="H414" s="796">
        <f t="shared" si="21"/>
        <v>0</v>
      </c>
      <c r="I414" s="793">
        <f t="shared" si="22"/>
        <v>0</v>
      </c>
      <c r="J414" s="793"/>
      <c r="K414" s="813"/>
      <c r="L414" s="797"/>
      <c r="M414" s="813"/>
      <c r="N414" s="797"/>
      <c r="O414" s="797"/>
    </row>
    <row r="415" spans="3:15">
      <c r="C415" s="789">
        <f>IF(D365="","-",+C414+1)</f>
        <v>2059</v>
      </c>
      <c r="D415" s="737">
        <f t="shared" si="18"/>
        <v>0</v>
      </c>
      <c r="E415" s="790">
        <f t="shared" si="23"/>
        <v>0</v>
      </c>
      <c r="F415" s="737">
        <f t="shared" si="19"/>
        <v>0</v>
      </c>
      <c r="G415" s="795">
        <f t="shared" si="20"/>
        <v>0</v>
      </c>
      <c r="H415" s="796">
        <f t="shared" si="21"/>
        <v>0</v>
      </c>
      <c r="I415" s="793">
        <f t="shared" si="22"/>
        <v>0</v>
      </c>
      <c r="J415" s="793"/>
      <c r="K415" s="813"/>
      <c r="L415" s="797"/>
      <c r="M415" s="813"/>
      <c r="N415" s="797"/>
      <c r="O415" s="797"/>
    </row>
    <row r="416" spans="3:15">
      <c r="C416" s="789">
        <f>IF(D365="","-",+C415+1)</f>
        <v>2060</v>
      </c>
      <c r="D416" s="737">
        <f t="shared" si="18"/>
        <v>0</v>
      </c>
      <c r="E416" s="790">
        <f t="shared" si="23"/>
        <v>0</v>
      </c>
      <c r="F416" s="737">
        <f t="shared" si="19"/>
        <v>0</v>
      </c>
      <c r="G416" s="795">
        <f t="shared" si="20"/>
        <v>0</v>
      </c>
      <c r="H416" s="796">
        <f t="shared" si="21"/>
        <v>0</v>
      </c>
      <c r="I416" s="793">
        <f t="shared" si="22"/>
        <v>0</v>
      </c>
      <c r="J416" s="793"/>
      <c r="K416" s="813"/>
      <c r="L416" s="797"/>
      <c r="M416" s="813"/>
      <c r="N416" s="797"/>
      <c r="O416" s="797"/>
    </row>
    <row r="417" spans="3:15">
      <c r="C417" s="789">
        <f>IF(D365="","-",+C416+1)</f>
        <v>2061</v>
      </c>
      <c r="D417" s="737">
        <f t="shared" si="18"/>
        <v>0</v>
      </c>
      <c r="E417" s="790">
        <f t="shared" si="23"/>
        <v>0</v>
      </c>
      <c r="F417" s="737">
        <f t="shared" si="19"/>
        <v>0</v>
      </c>
      <c r="G417" s="795">
        <f t="shared" si="20"/>
        <v>0</v>
      </c>
      <c r="H417" s="796">
        <f t="shared" si="21"/>
        <v>0</v>
      </c>
      <c r="I417" s="793">
        <f t="shared" si="22"/>
        <v>0</v>
      </c>
      <c r="J417" s="793"/>
      <c r="K417" s="813"/>
      <c r="L417" s="797"/>
      <c r="M417" s="813"/>
      <c r="N417" s="797"/>
      <c r="O417" s="797"/>
    </row>
    <row r="418" spans="3:15">
      <c r="C418" s="789">
        <f>IF(D365="","-",+C417+1)</f>
        <v>2062</v>
      </c>
      <c r="D418" s="737">
        <f t="shared" si="18"/>
        <v>0</v>
      </c>
      <c r="E418" s="790">
        <f t="shared" si="23"/>
        <v>0</v>
      </c>
      <c r="F418" s="737">
        <f t="shared" si="19"/>
        <v>0</v>
      </c>
      <c r="G418" s="795">
        <f t="shared" si="20"/>
        <v>0</v>
      </c>
      <c r="H418" s="796">
        <f t="shared" si="21"/>
        <v>0</v>
      </c>
      <c r="I418" s="793">
        <f t="shared" si="22"/>
        <v>0</v>
      </c>
      <c r="J418" s="793"/>
      <c r="K418" s="813"/>
      <c r="L418" s="797"/>
      <c r="M418" s="813"/>
      <c r="N418" s="797"/>
      <c r="O418" s="797"/>
    </row>
    <row r="419" spans="3:15">
      <c r="C419" s="789">
        <f>IF(D365="","-",+C418+1)</f>
        <v>2063</v>
      </c>
      <c r="D419" s="737">
        <f t="shared" si="18"/>
        <v>0</v>
      </c>
      <c r="E419" s="790">
        <f t="shared" si="23"/>
        <v>0</v>
      </c>
      <c r="F419" s="737">
        <f t="shared" si="19"/>
        <v>0</v>
      </c>
      <c r="G419" s="795">
        <f t="shared" si="20"/>
        <v>0</v>
      </c>
      <c r="H419" s="796">
        <f t="shared" si="21"/>
        <v>0</v>
      </c>
      <c r="I419" s="793">
        <f t="shared" si="22"/>
        <v>0</v>
      </c>
      <c r="J419" s="793"/>
      <c r="K419" s="813"/>
      <c r="L419" s="797"/>
      <c r="M419" s="813"/>
      <c r="N419" s="797"/>
      <c r="O419" s="797"/>
    </row>
    <row r="420" spans="3:15">
      <c r="C420" s="789">
        <f>IF(D365="","-",+C419+1)</f>
        <v>2064</v>
      </c>
      <c r="D420" s="737">
        <f t="shared" si="18"/>
        <v>0</v>
      </c>
      <c r="E420" s="790">
        <f t="shared" si="23"/>
        <v>0</v>
      </c>
      <c r="F420" s="737">
        <f t="shared" si="19"/>
        <v>0</v>
      </c>
      <c r="G420" s="795">
        <f t="shared" si="20"/>
        <v>0</v>
      </c>
      <c r="H420" s="796">
        <f t="shared" si="21"/>
        <v>0</v>
      </c>
      <c r="I420" s="793">
        <f t="shared" si="22"/>
        <v>0</v>
      </c>
      <c r="J420" s="793"/>
      <c r="K420" s="813"/>
      <c r="L420" s="797"/>
      <c r="M420" s="813"/>
      <c r="N420" s="797"/>
      <c r="O420" s="797"/>
    </row>
    <row r="421" spans="3:15">
      <c r="C421" s="789">
        <f>IF(D365="","-",+C420+1)</f>
        <v>2065</v>
      </c>
      <c r="D421" s="737">
        <f t="shared" si="18"/>
        <v>0</v>
      </c>
      <c r="E421" s="790">
        <f t="shared" si="23"/>
        <v>0</v>
      </c>
      <c r="F421" s="737">
        <f t="shared" si="19"/>
        <v>0</v>
      </c>
      <c r="G421" s="795">
        <f t="shared" si="20"/>
        <v>0</v>
      </c>
      <c r="H421" s="796">
        <f t="shared" si="21"/>
        <v>0</v>
      </c>
      <c r="I421" s="793">
        <f t="shared" si="22"/>
        <v>0</v>
      </c>
      <c r="J421" s="793"/>
      <c r="K421" s="813"/>
      <c r="L421" s="797"/>
      <c r="M421" s="813"/>
      <c r="N421" s="797"/>
      <c r="O421" s="797"/>
    </row>
    <row r="422" spans="3:15">
      <c r="C422" s="789">
        <f>IF(D365="","-",+C421+1)</f>
        <v>2066</v>
      </c>
      <c r="D422" s="737">
        <f t="shared" si="18"/>
        <v>0</v>
      </c>
      <c r="E422" s="790">
        <f t="shared" si="23"/>
        <v>0</v>
      </c>
      <c r="F422" s="737">
        <f t="shared" si="19"/>
        <v>0</v>
      </c>
      <c r="G422" s="795">
        <f t="shared" si="20"/>
        <v>0</v>
      </c>
      <c r="H422" s="796">
        <f t="shared" si="21"/>
        <v>0</v>
      </c>
      <c r="I422" s="793">
        <f t="shared" si="22"/>
        <v>0</v>
      </c>
      <c r="J422" s="793"/>
      <c r="K422" s="813"/>
      <c r="L422" s="797"/>
      <c r="M422" s="813"/>
      <c r="N422" s="797"/>
      <c r="O422" s="797"/>
    </row>
    <row r="423" spans="3:15">
      <c r="C423" s="789">
        <f>IF(D365="","-",+C422+1)</f>
        <v>2067</v>
      </c>
      <c r="D423" s="737">
        <f t="shared" si="18"/>
        <v>0</v>
      </c>
      <c r="E423" s="790">
        <f t="shared" si="23"/>
        <v>0</v>
      </c>
      <c r="F423" s="737">
        <f t="shared" si="19"/>
        <v>0</v>
      </c>
      <c r="G423" s="795">
        <f t="shared" si="20"/>
        <v>0</v>
      </c>
      <c r="H423" s="796">
        <f t="shared" si="21"/>
        <v>0</v>
      </c>
      <c r="I423" s="793">
        <f t="shared" si="22"/>
        <v>0</v>
      </c>
      <c r="J423" s="793"/>
      <c r="K423" s="813"/>
      <c r="L423" s="797"/>
      <c r="M423" s="813"/>
      <c r="N423" s="797"/>
      <c r="O423" s="797"/>
    </row>
    <row r="424" spans="3:15">
      <c r="C424" s="789">
        <f>IF(D365="","-",+C423+1)</f>
        <v>2068</v>
      </c>
      <c r="D424" s="737">
        <f t="shared" si="18"/>
        <v>0</v>
      </c>
      <c r="E424" s="790">
        <f t="shared" si="23"/>
        <v>0</v>
      </c>
      <c r="F424" s="737">
        <f t="shared" si="19"/>
        <v>0</v>
      </c>
      <c r="G424" s="795">
        <f t="shared" si="20"/>
        <v>0</v>
      </c>
      <c r="H424" s="796">
        <f t="shared" si="21"/>
        <v>0</v>
      </c>
      <c r="I424" s="793">
        <f t="shared" si="22"/>
        <v>0</v>
      </c>
      <c r="J424" s="793"/>
      <c r="K424" s="813"/>
      <c r="L424" s="797"/>
      <c r="M424" s="813"/>
      <c r="N424" s="797"/>
      <c r="O424" s="797"/>
    </row>
    <row r="425" spans="3:15">
      <c r="C425" s="789">
        <f>IF(D365="","-",+C424+1)</f>
        <v>2069</v>
      </c>
      <c r="D425" s="737">
        <f t="shared" si="18"/>
        <v>0</v>
      </c>
      <c r="E425" s="790">
        <f t="shared" si="23"/>
        <v>0</v>
      </c>
      <c r="F425" s="737">
        <f t="shared" si="19"/>
        <v>0</v>
      </c>
      <c r="G425" s="795">
        <f t="shared" si="20"/>
        <v>0</v>
      </c>
      <c r="H425" s="796">
        <f t="shared" si="21"/>
        <v>0</v>
      </c>
      <c r="I425" s="793">
        <f t="shared" si="22"/>
        <v>0</v>
      </c>
      <c r="J425" s="793"/>
      <c r="K425" s="813"/>
      <c r="L425" s="797"/>
      <c r="M425" s="813"/>
      <c r="N425" s="797"/>
      <c r="O425" s="797"/>
    </row>
    <row r="426" spans="3:15">
      <c r="C426" s="789">
        <f>IF(D365="","-",+C425+1)</f>
        <v>2070</v>
      </c>
      <c r="D426" s="737">
        <f t="shared" si="18"/>
        <v>0</v>
      </c>
      <c r="E426" s="790">
        <f t="shared" si="23"/>
        <v>0</v>
      </c>
      <c r="F426" s="737">
        <f t="shared" si="19"/>
        <v>0</v>
      </c>
      <c r="G426" s="795">
        <f t="shared" si="20"/>
        <v>0</v>
      </c>
      <c r="H426" s="796">
        <f t="shared" si="21"/>
        <v>0</v>
      </c>
      <c r="I426" s="793">
        <f t="shared" si="22"/>
        <v>0</v>
      </c>
      <c r="J426" s="793"/>
      <c r="K426" s="813"/>
      <c r="L426" s="797"/>
      <c r="M426" s="813"/>
      <c r="N426" s="797"/>
      <c r="O426" s="797"/>
    </row>
    <row r="427" spans="3:15">
      <c r="C427" s="789">
        <f>IF(D365="","-",+C426+1)</f>
        <v>2071</v>
      </c>
      <c r="D427" s="737">
        <f t="shared" si="18"/>
        <v>0</v>
      </c>
      <c r="E427" s="790">
        <f t="shared" si="23"/>
        <v>0</v>
      </c>
      <c r="F427" s="737">
        <f t="shared" si="19"/>
        <v>0</v>
      </c>
      <c r="G427" s="795">
        <f t="shared" si="20"/>
        <v>0</v>
      </c>
      <c r="H427" s="796">
        <f t="shared" si="21"/>
        <v>0</v>
      </c>
      <c r="I427" s="793">
        <f t="shared" si="22"/>
        <v>0</v>
      </c>
      <c r="J427" s="793"/>
      <c r="K427" s="813"/>
      <c r="L427" s="797"/>
      <c r="M427" s="813"/>
      <c r="N427" s="797"/>
      <c r="O427" s="797"/>
    </row>
    <row r="428" spans="3:15">
      <c r="C428" s="789">
        <f>IF(D365="","-",+C427+1)</f>
        <v>2072</v>
      </c>
      <c r="D428" s="737">
        <f t="shared" si="18"/>
        <v>0</v>
      </c>
      <c r="E428" s="790">
        <f t="shared" si="23"/>
        <v>0</v>
      </c>
      <c r="F428" s="737">
        <f t="shared" si="19"/>
        <v>0</v>
      </c>
      <c r="G428" s="795">
        <f t="shared" si="20"/>
        <v>0</v>
      </c>
      <c r="H428" s="796">
        <f t="shared" si="21"/>
        <v>0</v>
      </c>
      <c r="I428" s="793">
        <f t="shared" si="22"/>
        <v>0</v>
      </c>
      <c r="J428" s="793"/>
      <c r="K428" s="813"/>
      <c r="L428" s="797"/>
      <c r="M428" s="813"/>
      <c r="N428" s="797"/>
      <c r="O428" s="797"/>
    </row>
    <row r="429" spans="3:15">
      <c r="C429" s="789">
        <f>IF(D365="","-",+C428+1)</f>
        <v>2073</v>
      </c>
      <c r="D429" s="737">
        <f t="shared" si="18"/>
        <v>0</v>
      </c>
      <c r="E429" s="790">
        <f t="shared" si="23"/>
        <v>0</v>
      </c>
      <c r="F429" s="737">
        <f t="shared" si="19"/>
        <v>0</v>
      </c>
      <c r="G429" s="795">
        <f t="shared" si="20"/>
        <v>0</v>
      </c>
      <c r="H429" s="796">
        <f t="shared" si="21"/>
        <v>0</v>
      </c>
      <c r="I429" s="793">
        <f t="shared" si="22"/>
        <v>0</v>
      </c>
      <c r="J429" s="793"/>
      <c r="K429" s="813"/>
      <c r="L429" s="797"/>
      <c r="M429" s="813"/>
      <c r="N429" s="797"/>
      <c r="O429" s="797"/>
    </row>
    <row r="430" spans="3:15" ht="13.5" thickBot="1">
      <c r="C430" s="799">
        <f>IF(D365="","-",+C429+1)</f>
        <v>2074</v>
      </c>
      <c r="D430" s="800">
        <f t="shared" si="18"/>
        <v>0</v>
      </c>
      <c r="E430" s="801">
        <f t="shared" si="23"/>
        <v>0</v>
      </c>
      <c r="F430" s="800">
        <f t="shared" si="19"/>
        <v>0</v>
      </c>
      <c r="G430" s="802">
        <f t="shared" si="20"/>
        <v>0</v>
      </c>
      <c r="H430" s="802">
        <f t="shared" si="21"/>
        <v>0</v>
      </c>
      <c r="I430" s="803">
        <f t="shared" si="22"/>
        <v>0</v>
      </c>
      <c r="J430" s="793"/>
      <c r="K430" s="814"/>
      <c r="L430" s="804"/>
      <c r="M430" s="814"/>
      <c r="N430" s="804"/>
      <c r="O430" s="804"/>
    </row>
    <row r="431" spans="3:15">
      <c r="C431" s="737" t="s">
        <v>83</v>
      </c>
      <c r="D431" s="731"/>
      <c r="E431" s="731">
        <f>SUM(E371:E430)</f>
        <v>56691968</v>
      </c>
      <c r="F431" s="731"/>
      <c r="G431" s="731">
        <f>SUM(G371:G430)</f>
        <v>189190518.90524089</v>
      </c>
      <c r="H431" s="731">
        <f>SUM(H371:H430)</f>
        <v>189190518.90524089</v>
      </c>
      <c r="I431" s="731">
        <f>SUM(I371:I430)</f>
        <v>0</v>
      </c>
      <c r="J431" s="731"/>
      <c r="K431" s="731"/>
      <c r="L431" s="731"/>
      <c r="M431" s="731"/>
      <c r="N431" s="731"/>
      <c r="O431" s="314"/>
    </row>
    <row r="432" spans="3:15">
      <c r="D432" s="539"/>
      <c r="E432" s="314"/>
      <c r="F432" s="314"/>
      <c r="G432" s="314"/>
      <c r="H432" s="709"/>
      <c r="I432" s="709"/>
      <c r="J432" s="731"/>
      <c r="K432" s="709"/>
      <c r="L432" s="709"/>
      <c r="M432" s="709"/>
      <c r="N432" s="709"/>
      <c r="O432" s="314"/>
    </row>
    <row r="433" spans="1:16">
      <c r="C433" s="314" t="s">
        <v>13</v>
      </c>
      <c r="D433" s="539"/>
      <c r="E433" s="314"/>
      <c r="F433" s="314"/>
      <c r="G433" s="314"/>
      <c r="H433" s="709"/>
      <c r="I433" s="709"/>
      <c r="J433" s="731"/>
      <c r="K433" s="709"/>
      <c r="L433" s="709"/>
      <c r="M433" s="709"/>
      <c r="N433" s="709"/>
      <c r="O433" s="314"/>
    </row>
    <row r="434" spans="1:16">
      <c r="C434" s="314"/>
      <c r="D434" s="539"/>
      <c r="E434" s="314"/>
      <c r="F434" s="314"/>
      <c r="G434" s="314"/>
      <c r="H434" s="709"/>
      <c r="I434" s="709"/>
      <c r="J434" s="731"/>
      <c r="K434" s="709"/>
      <c r="L434" s="709"/>
      <c r="M434" s="709"/>
      <c r="N434" s="709"/>
      <c r="O434" s="314"/>
    </row>
    <row r="435" spans="1:16">
      <c r="C435" s="750" t="s">
        <v>14</v>
      </c>
      <c r="D435" s="737"/>
      <c r="E435" s="737"/>
      <c r="F435" s="737"/>
      <c r="G435" s="731"/>
      <c r="H435" s="731"/>
      <c r="I435" s="805"/>
      <c r="J435" s="805"/>
      <c r="K435" s="805"/>
      <c r="L435" s="805"/>
      <c r="M435" s="805"/>
      <c r="N435" s="805"/>
      <c r="O435" s="314"/>
    </row>
    <row r="436" spans="1:16">
      <c r="C436" s="736" t="s">
        <v>263</v>
      </c>
      <c r="D436" s="737"/>
      <c r="E436" s="737"/>
      <c r="F436" s="737"/>
      <c r="G436" s="731"/>
      <c r="H436" s="731"/>
      <c r="I436" s="805"/>
      <c r="J436" s="805"/>
      <c r="K436" s="805"/>
      <c r="L436" s="805"/>
      <c r="M436" s="805"/>
      <c r="N436" s="805"/>
      <c r="O436" s="314"/>
    </row>
    <row r="437" spans="1:16">
      <c r="C437" s="736" t="s">
        <v>84</v>
      </c>
      <c r="D437" s="737"/>
      <c r="E437" s="737"/>
      <c r="F437" s="737"/>
      <c r="G437" s="731"/>
      <c r="H437" s="731"/>
      <c r="I437" s="805"/>
      <c r="J437" s="805"/>
      <c r="K437" s="805"/>
      <c r="L437" s="805"/>
      <c r="M437" s="805"/>
      <c r="N437" s="805"/>
      <c r="O437" s="314"/>
    </row>
    <row r="438" spans="1:16">
      <c r="C438" s="736"/>
      <c r="D438" s="737"/>
      <c r="E438" s="737"/>
      <c r="F438" s="737"/>
      <c r="G438" s="731"/>
      <c r="H438" s="731"/>
      <c r="I438" s="805"/>
      <c r="J438" s="805"/>
      <c r="K438" s="805"/>
      <c r="L438" s="805"/>
      <c r="M438" s="805"/>
      <c r="N438" s="805"/>
      <c r="O438" s="314"/>
    </row>
    <row r="439" spans="1:16">
      <c r="C439" s="1568" t="s">
        <v>6</v>
      </c>
      <c r="D439" s="1568"/>
      <c r="E439" s="1568"/>
      <c r="F439" s="1568"/>
      <c r="G439" s="1568"/>
      <c r="H439" s="1568"/>
      <c r="I439" s="1568"/>
      <c r="J439" s="1568"/>
      <c r="K439" s="1568"/>
      <c r="L439" s="1568"/>
      <c r="M439" s="1568"/>
      <c r="N439" s="1568"/>
      <c r="O439" s="1568"/>
    </row>
    <row r="440" spans="1:16">
      <c r="C440" s="1568"/>
      <c r="D440" s="1568"/>
      <c r="E440" s="1568"/>
      <c r="F440" s="1568"/>
      <c r="G440" s="1568"/>
      <c r="H440" s="1568"/>
      <c r="I440" s="1568"/>
      <c r="J440" s="1568"/>
      <c r="K440" s="1568"/>
      <c r="L440" s="1568"/>
      <c r="M440" s="1568"/>
      <c r="N440" s="1568"/>
      <c r="O440" s="1568"/>
    </row>
    <row r="441" spans="1:16">
      <c r="C441" s="736"/>
      <c r="D441" s="737"/>
      <c r="E441" s="737"/>
      <c r="F441" s="737"/>
      <c r="G441" s="731"/>
      <c r="H441" s="731"/>
    </row>
    <row r="442" spans="1:16" ht="20.25">
      <c r="A442" s="738" t="str">
        <f>""&amp;A366&amp;" Worksheet J -  ATRR PROJECTED Calculation for PJM Projects Charged to Benefiting Zones"</f>
        <v xml:space="preserve"> Worksheet J -  ATRR PROJECTED Calculation for PJM Projects Charged to Benefiting Zones</v>
      </c>
      <c r="B442" s="348"/>
      <c r="C442" s="726"/>
      <c r="D442" s="539"/>
      <c r="E442" s="314"/>
      <c r="F442" s="708"/>
      <c r="G442" s="314"/>
      <c r="H442" s="709"/>
      <c r="K442" s="565"/>
      <c r="L442" s="565"/>
      <c r="M442" s="565"/>
      <c r="N442" s="654" t="str">
        <f>"Page "&amp;SUM(P$8:P442)&amp;" of "</f>
        <v xml:space="preserve">Page 6 of </v>
      </c>
      <c r="O442" s="655">
        <f>COUNT(P$8:P$56653)</f>
        <v>12</v>
      </c>
      <c r="P442" s="739">
        <v>1</v>
      </c>
    </row>
    <row r="443" spans="1:16">
      <c r="B443" s="348"/>
      <c r="C443" s="314"/>
      <c r="D443" s="539"/>
      <c r="E443" s="314"/>
      <c r="F443" s="314"/>
      <c r="G443" s="314"/>
      <c r="H443" s="709"/>
      <c r="I443" s="314"/>
      <c r="J443" s="427"/>
      <c r="K443" s="314"/>
      <c r="L443" s="314"/>
      <c r="M443" s="314"/>
      <c r="N443" s="314"/>
      <c r="O443" s="314"/>
      <c r="P443" s="427"/>
    </row>
    <row r="444" spans="1:16" ht="18">
      <c r="B444" s="658" t="s">
        <v>466</v>
      </c>
      <c r="C444" s="740" t="s">
        <v>85</v>
      </c>
      <c r="D444" s="539"/>
      <c r="E444" s="314"/>
      <c r="F444" s="314"/>
      <c r="G444" s="314"/>
      <c r="H444" s="709"/>
      <c r="I444" s="709"/>
      <c r="J444" s="731"/>
      <c r="K444" s="709"/>
      <c r="L444" s="709"/>
      <c r="M444" s="709"/>
      <c r="N444" s="709"/>
      <c r="O444" s="314"/>
    </row>
    <row r="445" spans="1:16" ht="18.75">
      <c r="B445" s="658"/>
      <c r="C445" s="657"/>
      <c r="D445" s="539"/>
      <c r="E445" s="314"/>
      <c r="F445" s="314"/>
      <c r="G445" s="314"/>
      <c r="H445" s="709"/>
      <c r="I445" s="709"/>
      <c r="J445" s="731"/>
      <c r="K445" s="709"/>
      <c r="L445" s="709"/>
      <c r="M445" s="709"/>
      <c r="N445" s="709"/>
      <c r="O445" s="314"/>
    </row>
    <row r="446" spans="1:16" ht="18.75">
      <c r="B446" s="658"/>
      <c r="C446" s="657" t="s">
        <v>86</v>
      </c>
      <c r="D446" s="539"/>
      <c r="E446" s="314"/>
      <c r="F446" s="314"/>
      <c r="G446" s="314"/>
      <c r="H446" s="709"/>
      <c r="I446" s="709"/>
      <c r="J446" s="731"/>
      <c r="K446" s="709"/>
      <c r="L446" s="709"/>
      <c r="M446" s="709"/>
      <c r="N446" s="709"/>
      <c r="O446" s="314"/>
    </row>
    <row r="447" spans="1:16" ht="15.75" thickBot="1">
      <c r="C447" s="240"/>
      <c r="D447" s="539"/>
      <c r="E447" s="314"/>
      <c r="F447" s="314"/>
      <c r="G447" s="314"/>
      <c r="H447" s="709"/>
      <c r="I447" s="709"/>
      <c r="J447" s="731"/>
      <c r="K447" s="709"/>
      <c r="L447" s="709"/>
      <c r="M447" s="709"/>
      <c r="N447" s="709"/>
      <c r="O447" s="314"/>
    </row>
    <row r="448" spans="1:16" ht="15.75">
      <c r="C448" s="660" t="s">
        <v>87</v>
      </c>
      <c r="D448" s="539"/>
      <c r="E448" s="314"/>
      <c r="F448" s="314"/>
      <c r="G448" s="807"/>
      <c r="H448" s="314" t="s">
        <v>66</v>
      </c>
      <c r="I448" s="314"/>
      <c r="J448" s="427"/>
      <c r="K448" s="741" t="s">
        <v>91</v>
      </c>
      <c r="L448" s="742"/>
      <c r="M448" s="743"/>
      <c r="N448" s="744">
        <f>IF(I454=0,0,VLOOKUP(I454,C461:O520,5))</f>
        <v>2568189.1753968643</v>
      </c>
      <c r="O448" s="314"/>
    </row>
    <row r="449" spans="2:15" ht="15.75">
      <c r="C449" s="660"/>
      <c r="D449" s="539"/>
      <c r="E449" s="314"/>
      <c r="F449" s="314"/>
      <c r="G449" s="314"/>
      <c r="H449" s="745"/>
      <c r="I449" s="745"/>
      <c r="J449" s="746"/>
      <c r="K449" s="747" t="s">
        <v>92</v>
      </c>
      <c r="L449" s="748"/>
      <c r="M449" s="427"/>
      <c r="N449" s="749">
        <f>IF(I454=0,0,VLOOKUP(I454,C461:O520,6))</f>
        <v>2568189.1753968643</v>
      </c>
      <c r="O449" s="314"/>
    </row>
    <row r="450" spans="2:15" ht="13.5" thickBot="1">
      <c r="C450" s="750" t="s">
        <v>88</v>
      </c>
      <c r="D450" s="1567" t="s">
        <v>815</v>
      </c>
      <c r="E450" s="1567"/>
      <c r="F450" s="1567"/>
      <c r="G450" s="1567"/>
      <c r="H450" s="1567"/>
      <c r="I450" s="1567"/>
      <c r="J450" s="731"/>
      <c r="K450" s="751" t="s">
        <v>230</v>
      </c>
      <c r="L450" s="752"/>
      <c r="M450" s="752"/>
      <c r="N450" s="753">
        <f>+N449-N448</f>
        <v>0</v>
      </c>
      <c r="O450" s="314"/>
    </row>
    <row r="451" spans="2:15">
      <c r="C451" s="754"/>
      <c r="D451" s="755"/>
      <c r="E451" s="735"/>
      <c r="F451" s="735"/>
      <c r="G451" s="756"/>
      <c r="H451" s="709"/>
      <c r="I451" s="709"/>
      <c r="J451" s="731"/>
      <c r="K451" s="709"/>
      <c r="L451" s="709"/>
      <c r="M451" s="709"/>
      <c r="N451" s="709"/>
      <c r="O451" s="314"/>
    </row>
    <row r="452" spans="2:15" ht="13.5" thickBot="1">
      <c r="C452" s="757"/>
      <c r="D452" s="758"/>
      <c r="E452" s="756"/>
      <c r="F452" s="756"/>
      <c r="G452" s="756"/>
      <c r="H452" s="756"/>
      <c r="I452" s="756"/>
      <c r="J452" s="759"/>
      <c r="K452" s="756"/>
      <c r="L452" s="756"/>
      <c r="M452" s="756"/>
      <c r="N452" s="756"/>
      <c r="O452" s="348"/>
    </row>
    <row r="453" spans="2:15" ht="13.5" thickBot="1">
      <c r="C453" s="760" t="s">
        <v>89</v>
      </c>
      <c r="D453" s="761"/>
      <c r="E453" s="761"/>
      <c r="F453" s="761"/>
      <c r="G453" s="761"/>
      <c r="H453" s="761"/>
      <c r="I453" s="762"/>
      <c r="J453" s="763"/>
      <c r="K453" s="314"/>
      <c r="L453" s="314"/>
      <c r="M453" s="314"/>
      <c r="N453" s="314"/>
      <c r="O453" s="764"/>
    </row>
    <row r="454" spans="2:15" ht="15">
      <c r="C454" s="765" t="s">
        <v>67</v>
      </c>
      <c r="D454" s="809">
        <v>21756984</v>
      </c>
      <c r="E454" s="726" t="s">
        <v>68</v>
      </c>
      <c r="G454" s="766"/>
      <c r="H454" s="766"/>
      <c r="I454" s="767">
        <f>$L$26</f>
        <v>2022</v>
      </c>
      <c r="J454" s="555"/>
      <c r="K454" s="1569" t="s">
        <v>239</v>
      </c>
      <c r="L454" s="1569"/>
      <c r="M454" s="1569"/>
      <c r="N454" s="1569"/>
      <c r="O454" s="1569"/>
    </row>
    <row r="455" spans="2:15">
      <c r="C455" s="765" t="s">
        <v>70</v>
      </c>
      <c r="D455" s="810">
        <v>2015</v>
      </c>
      <c r="E455" s="765" t="s">
        <v>71</v>
      </c>
      <c r="F455" s="766"/>
      <c r="H455" s="173"/>
      <c r="I455" s="811">
        <f>IF(G448="",0,$F$17)</f>
        <v>0</v>
      </c>
      <c r="J455" s="768"/>
      <c r="K455" s="731" t="s">
        <v>239</v>
      </c>
    </row>
    <row r="456" spans="2:15">
      <c r="C456" s="765" t="s">
        <v>72</v>
      </c>
      <c r="D456" s="809">
        <v>12</v>
      </c>
      <c r="E456" s="765" t="s">
        <v>73</v>
      </c>
      <c r="F456" s="766"/>
      <c r="H456" s="173"/>
      <c r="I456" s="769">
        <f>$G$70</f>
        <v>0.11129362813814259</v>
      </c>
      <c r="J456" s="770"/>
      <c r="K456" s="173" t="str">
        <f>"          INPUT PROJECTED ARR (WITH &amp; WITHOUT INCENTIVES) FROM EACH PRIOR YEAR"</f>
        <v xml:space="preserve">          INPUT PROJECTED ARR (WITH &amp; WITHOUT INCENTIVES) FROM EACH PRIOR YEAR</v>
      </c>
    </row>
    <row r="457" spans="2:15">
      <c r="C457" s="765" t="s">
        <v>74</v>
      </c>
      <c r="D457" s="771">
        <f>$G$79</f>
        <v>41</v>
      </c>
      <c r="E457" s="765" t="s">
        <v>75</v>
      </c>
      <c r="F457" s="766"/>
      <c r="H457" s="173"/>
      <c r="I457" s="769">
        <f>IF(G448="",I456,$G$69)</f>
        <v>0.11129362813814259</v>
      </c>
      <c r="J457" s="772"/>
      <c r="K457" s="173" t="s">
        <v>152</v>
      </c>
    </row>
    <row r="458" spans="2:15" ht="13.5" thickBot="1">
      <c r="C458" s="765" t="s">
        <v>76</v>
      </c>
      <c r="D458" s="808" t="s">
        <v>811</v>
      </c>
      <c r="E458" s="773" t="s">
        <v>77</v>
      </c>
      <c r="F458" s="774"/>
      <c r="G458" s="775"/>
      <c r="H458" s="775"/>
      <c r="I458" s="753">
        <f>IF(D454=0,0,D454/D457)</f>
        <v>530658.14634146343</v>
      </c>
      <c r="J458" s="731"/>
      <c r="K458" s="731" t="s">
        <v>158</v>
      </c>
      <c r="L458" s="731"/>
      <c r="M458" s="731"/>
      <c r="N458" s="731"/>
      <c r="O458" s="427"/>
    </row>
    <row r="459" spans="2:15" ht="38.25">
      <c r="B459" s="846"/>
      <c r="C459" s="776" t="s">
        <v>67</v>
      </c>
      <c r="D459" s="777" t="s">
        <v>78</v>
      </c>
      <c r="E459" s="778" t="s">
        <v>79</v>
      </c>
      <c r="F459" s="777" t="s">
        <v>80</v>
      </c>
      <c r="G459" s="778" t="s">
        <v>151</v>
      </c>
      <c r="H459" s="779" t="s">
        <v>151</v>
      </c>
      <c r="I459" s="776" t="s">
        <v>90</v>
      </c>
      <c r="J459" s="780"/>
      <c r="K459" s="778" t="s">
        <v>160</v>
      </c>
      <c r="L459" s="781"/>
      <c r="M459" s="778" t="s">
        <v>160</v>
      </c>
      <c r="N459" s="781"/>
      <c r="O459" s="781"/>
    </row>
    <row r="460" spans="2:15" ht="13.5" thickBot="1">
      <c r="C460" s="782" t="s">
        <v>469</v>
      </c>
      <c r="D460" s="783" t="s">
        <v>470</v>
      </c>
      <c r="E460" s="782" t="s">
        <v>363</v>
      </c>
      <c r="F460" s="783" t="s">
        <v>470</v>
      </c>
      <c r="G460" s="784" t="s">
        <v>93</v>
      </c>
      <c r="H460" s="785" t="s">
        <v>95</v>
      </c>
      <c r="I460" s="786" t="s">
        <v>15</v>
      </c>
      <c r="J460" s="787"/>
      <c r="K460" s="784" t="s">
        <v>82</v>
      </c>
      <c r="L460" s="788"/>
      <c r="M460" s="784" t="s">
        <v>95</v>
      </c>
      <c r="N460" s="788"/>
      <c r="O460" s="788"/>
    </row>
    <row r="461" spans="2:15">
      <c r="C461" s="789">
        <f>IF(D455= "","-",D455)</f>
        <v>2015</v>
      </c>
      <c r="D461" s="737">
        <f>+D454</f>
        <v>21756984</v>
      </c>
      <c r="E461" s="790">
        <f>+I458/12*(12-D456)</f>
        <v>0</v>
      </c>
      <c r="F461" s="737">
        <f>+D461-E461</f>
        <v>21756984</v>
      </c>
      <c r="G461" s="1001">
        <f>+$I$96*((D461+F461)/2)+E461</f>
        <v>2421413.686703518</v>
      </c>
      <c r="H461" s="1002">
        <f>$I$97*((D461+F461)/2)+E461</f>
        <v>2421413.686703518</v>
      </c>
      <c r="I461" s="793">
        <f>+H461-G461</f>
        <v>0</v>
      </c>
      <c r="J461" s="793"/>
      <c r="K461" s="812">
        <v>2348715</v>
      </c>
      <c r="L461" s="794"/>
      <c r="M461" s="812">
        <v>2348715</v>
      </c>
      <c r="N461" s="794"/>
      <c r="O461" s="794"/>
    </row>
    <row r="462" spans="2:15">
      <c r="C462" s="789">
        <f>IF(D455="","-",+C461+1)</f>
        <v>2016</v>
      </c>
      <c r="D462" s="737">
        <f t="shared" ref="D462:D520" si="24">F461</f>
        <v>21756984</v>
      </c>
      <c r="E462" s="790">
        <f>IF(D462&gt;$I$458,$I$458,D462)</f>
        <v>530658.14634146343</v>
      </c>
      <c r="F462" s="737">
        <f t="shared" ref="F462:F520" si="25">+D462-E462</f>
        <v>21226325.853658538</v>
      </c>
      <c r="G462" s="795">
        <f t="shared" ref="G462:G520" si="26">+$I$96*((D462+F462)/2)+E462</f>
        <v>2922542.3978412803</v>
      </c>
      <c r="H462" s="796">
        <f t="shared" ref="H462:H520" si="27">$I$97*((D462+F462)/2)+E462</f>
        <v>2922542.3978412803</v>
      </c>
      <c r="I462" s="793">
        <f t="shared" ref="I462:I520" si="28">+H462-G462</f>
        <v>0</v>
      </c>
      <c r="J462" s="793"/>
      <c r="K462" s="813">
        <v>2575052</v>
      </c>
      <c r="L462" s="797"/>
      <c r="M462" s="813">
        <v>2575052</v>
      </c>
      <c r="N462" s="797"/>
      <c r="O462" s="797"/>
    </row>
    <row r="463" spans="2:15">
      <c r="C463" s="789">
        <f>IF(D455="","-",+C462+1)</f>
        <v>2017</v>
      </c>
      <c r="D463" s="737">
        <f t="shared" si="24"/>
        <v>21226325.853658538</v>
      </c>
      <c r="E463" s="790">
        <f t="shared" ref="E463:E520" si="29">IF(D463&gt;$I$458,$I$458,D463)</f>
        <v>530658.14634146343</v>
      </c>
      <c r="F463" s="737">
        <f t="shared" si="25"/>
        <v>20695667.707317077</v>
      </c>
      <c r="G463" s="795">
        <f t="shared" si="26"/>
        <v>2863483.5274338773</v>
      </c>
      <c r="H463" s="796">
        <f t="shared" si="27"/>
        <v>2863483.5274338773</v>
      </c>
      <c r="I463" s="793">
        <f t="shared" si="28"/>
        <v>0</v>
      </c>
      <c r="J463" s="793"/>
      <c r="K463" s="813">
        <v>2745014</v>
      </c>
      <c r="L463" s="797"/>
      <c r="M463" s="813">
        <v>2745014</v>
      </c>
      <c r="N463" s="797"/>
      <c r="O463" s="797"/>
    </row>
    <row r="464" spans="2:15">
      <c r="C464" s="1311">
        <f>IF(D455="","-",+C463+1)</f>
        <v>2018</v>
      </c>
      <c r="D464" s="737">
        <f t="shared" si="24"/>
        <v>20695667.707317077</v>
      </c>
      <c r="E464" s="790">
        <f t="shared" si="29"/>
        <v>530658.14634146343</v>
      </c>
      <c r="F464" s="737">
        <f t="shared" si="25"/>
        <v>20165009.560975615</v>
      </c>
      <c r="G464" s="795">
        <f t="shared" si="26"/>
        <v>2804424.6570264753</v>
      </c>
      <c r="H464" s="796">
        <f t="shared" si="27"/>
        <v>2804424.6570264753</v>
      </c>
      <c r="I464" s="793">
        <f t="shared" si="28"/>
        <v>0</v>
      </c>
      <c r="J464" s="793"/>
      <c r="K464" s="813">
        <v>2387052</v>
      </c>
      <c r="L464" s="797"/>
      <c r="M464" s="813">
        <v>2387052</v>
      </c>
      <c r="N464" s="797"/>
      <c r="O464" s="797"/>
    </row>
    <row r="465" spans="3:15">
      <c r="C465" s="1307">
        <f>IF(D455="","-",+C464+1)</f>
        <v>2019</v>
      </c>
      <c r="D465" s="737">
        <f t="shared" si="24"/>
        <v>20165009.560975615</v>
      </c>
      <c r="E465" s="790">
        <f t="shared" si="29"/>
        <v>530658.14634146343</v>
      </c>
      <c r="F465" s="737">
        <f t="shared" si="25"/>
        <v>19634351.414634153</v>
      </c>
      <c r="G465" s="795">
        <f t="shared" si="26"/>
        <v>2745365.7866190718</v>
      </c>
      <c r="H465" s="796">
        <f t="shared" si="27"/>
        <v>2745365.7866190718</v>
      </c>
      <c r="I465" s="793">
        <f t="shared" si="28"/>
        <v>0</v>
      </c>
      <c r="J465" s="793"/>
      <c r="K465" s="813"/>
      <c r="L465" s="797"/>
      <c r="M465" s="813"/>
      <c r="N465" s="797"/>
      <c r="O465" s="797"/>
    </row>
    <row r="466" spans="3:15">
      <c r="C466" s="789">
        <f>IF(D455="","-",+C465+1)</f>
        <v>2020</v>
      </c>
      <c r="D466" s="737">
        <f t="shared" si="24"/>
        <v>19634351.414634153</v>
      </c>
      <c r="E466" s="790">
        <f t="shared" si="29"/>
        <v>530658.14634146343</v>
      </c>
      <c r="F466" s="737">
        <f t="shared" si="25"/>
        <v>19103693.268292692</v>
      </c>
      <c r="G466" s="795">
        <f t="shared" si="26"/>
        <v>2686306.9162116698</v>
      </c>
      <c r="H466" s="796">
        <f t="shared" si="27"/>
        <v>2686306.9162116698</v>
      </c>
      <c r="I466" s="793">
        <f t="shared" si="28"/>
        <v>0</v>
      </c>
      <c r="J466" s="793"/>
      <c r="K466" s="813"/>
      <c r="L466" s="797"/>
      <c r="M466" s="813"/>
      <c r="N466" s="797"/>
      <c r="O466" s="797"/>
    </row>
    <row r="467" spans="3:15">
      <c r="C467" s="789">
        <f>IF(D455="","-",+C466+1)</f>
        <v>2021</v>
      </c>
      <c r="D467" s="737">
        <f t="shared" si="24"/>
        <v>19103693.268292692</v>
      </c>
      <c r="E467" s="790">
        <f t="shared" si="29"/>
        <v>530658.14634146343</v>
      </c>
      <c r="F467" s="737">
        <f t="shared" si="25"/>
        <v>18573035.12195123</v>
      </c>
      <c r="G467" s="795">
        <f t="shared" si="26"/>
        <v>2627248.0458042664</v>
      </c>
      <c r="H467" s="796">
        <f t="shared" si="27"/>
        <v>2627248.0458042664</v>
      </c>
      <c r="I467" s="793">
        <f t="shared" si="28"/>
        <v>0</v>
      </c>
      <c r="J467" s="793"/>
      <c r="K467" s="813"/>
      <c r="L467" s="797"/>
      <c r="M467" s="813"/>
      <c r="N467" s="797"/>
      <c r="O467" s="797"/>
    </row>
    <row r="468" spans="3:15">
      <c r="C468" s="789">
        <f>IF(D455="","-",+C467+1)</f>
        <v>2022</v>
      </c>
      <c r="D468" s="737">
        <f t="shared" si="24"/>
        <v>18573035.12195123</v>
      </c>
      <c r="E468" s="790">
        <f t="shared" si="29"/>
        <v>530658.14634146343</v>
      </c>
      <c r="F468" s="737">
        <f t="shared" si="25"/>
        <v>18042376.975609768</v>
      </c>
      <c r="G468" s="795">
        <f t="shared" si="26"/>
        <v>2568189.1753968643</v>
      </c>
      <c r="H468" s="796">
        <f t="shared" si="27"/>
        <v>2568189.1753968643</v>
      </c>
      <c r="I468" s="793">
        <f t="shared" si="28"/>
        <v>0</v>
      </c>
      <c r="J468" s="793"/>
      <c r="K468" s="813"/>
      <c r="L468" s="797"/>
      <c r="M468" s="813"/>
      <c r="N468" s="797"/>
      <c r="O468" s="797"/>
    </row>
    <row r="469" spans="3:15">
      <c r="C469" s="789">
        <f>IF(D455="","-",+C468+1)</f>
        <v>2023</v>
      </c>
      <c r="D469" s="737">
        <f t="shared" si="24"/>
        <v>18042376.975609768</v>
      </c>
      <c r="E469" s="790">
        <f t="shared" si="29"/>
        <v>530658.14634146343</v>
      </c>
      <c r="F469" s="737">
        <f t="shared" si="25"/>
        <v>17511718.829268306</v>
      </c>
      <c r="G469" s="795">
        <f t="shared" si="26"/>
        <v>2509130.3049894613</v>
      </c>
      <c r="H469" s="796">
        <f t="shared" si="27"/>
        <v>2509130.3049894613</v>
      </c>
      <c r="I469" s="793">
        <f t="shared" si="28"/>
        <v>0</v>
      </c>
      <c r="J469" s="793"/>
      <c r="K469" s="813"/>
      <c r="L469" s="797"/>
      <c r="M469" s="813"/>
      <c r="N469" s="797"/>
      <c r="O469" s="797"/>
    </row>
    <row r="470" spans="3:15">
      <c r="C470" s="789">
        <f>IF(D455="","-",+C469+1)</f>
        <v>2024</v>
      </c>
      <c r="D470" s="737">
        <f t="shared" si="24"/>
        <v>17511718.829268306</v>
      </c>
      <c r="E470" s="790">
        <f t="shared" si="29"/>
        <v>530658.14634146343</v>
      </c>
      <c r="F470" s="737">
        <f t="shared" si="25"/>
        <v>16981060.682926845</v>
      </c>
      <c r="G470" s="795">
        <f t="shared" si="26"/>
        <v>2450071.4345820588</v>
      </c>
      <c r="H470" s="796">
        <f t="shared" si="27"/>
        <v>2450071.4345820588</v>
      </c>
      <c r="I470" s="793">
        <f t="shared" si="28"/>
        <v>0</v>
      </c>
      <c r="J470" s="793"/>
      <c r="K470" s="813"/>
      <c r="L470" s="797"/>
      <c r="M470" s="813"/>
      <c r="N470" s="797"/>
      <c r="O470" s="797"/>
    </row>
    <row r="471" spans="3:15">
      <c r="C471" s="789">
        <f>IF(D455="","-",+C470+1)</f>
        <v>2025</v>
      </c>
      <c r="D471" s="737">
        <f t="shared" si="24"/>
        <v>16981060.682926845</v>
      </c>
      <c r="E471" s="790">
        <f t="shared" si="29"/>
        <v>530658.14634146343</v>
      </c>
      <c r="F471" s="737">
        <f t="shared" si="25"/>
        <v>16450402.536585381</v>
      </c>
      <c r="G471" s="795">
        <f t="shared" si="26"/>
        <v>2391012.5641746558</v>
      </c>
      <c r="H471" s="796">
        <f t="shared" si="27"/>
        <v>2391012.5641746558</v>
      </c>
      <c r="I471" s="793">
        <f t="shared" si="28"/>
        <v>0</v>
      </c>
      <c r="J471" s="793"/>
      <c r="K471" s="813"/>
      <c r="L471" s="797"/>
      <c r="M471" s="813"/>
      <c r="N471" s="797"/>
      <c r="O471" s="797"/>
    </row>
    <row r="472" spans="3:15">
      <c r="C472" s="789">
        <f>IF(D455="","-",+C471+1)</f>
        <v>2026</v>
      </c>
      <c r="D472" s="737">
        <f t="shared" si="24"/>
        <v>16450402.536585381</v>
      </c>
      <c r="E472" s="790">
        <f t="shared" si="29"/>
        <v>530658.14634146343</v>
      </c>
      <c r="F472" s="737">
        <f t="shared" si="25"/>
        <v>15919744.390243918</v>
      </c>
      <c r="G472" s="795">
        <f t="shared" si="26"/>
        <v>2331953.6937672528</v>
      </c>
      <c r="H472" s="796">
        <f t="shared" si="27"/>
        <v>2331953.6937672528</v>
      </c>
      <c r="I472" s="793">
        <f t="shared" si="28"/>
        <v>0</v>
      </c>
      <c r="J472" s="793"/>
      <c r="K472" s="813"/>
      <c r="L472" s="797"/>
      <c r="M472" s="813"/>
      <c r="N472" s="797"/>
      <c r="O472" s="797"/>
    </row>
    <row r="473" spans="3:15">
      <c r="C473" s="789">
        <f>IF(D455="","-",+C472+1)</f>
        <v>2027</v>
      </c>
      <c r="D473" s="737">
        <f t="shared" si="24"/>
        <v>15919744.390243918</v>
      </c>
      <c r="E473" s="790">
        <f t="shared" si="29"/>
        <v>530658.14634146343</v>
      </c>
      <c r="F473" s="737">
        <f t="shared" si="25"/>
        <v>15389086.243902454</v>
      </c>
      <c r="G473" s="795">
        <f t="shared" si="26"/>
        <v>2272894.8233598499</v>
      </c>
      <c r="H473" s="796">
        <f t="shared" si="27"/>
        <v>2272894.8233598499</v>
      </c>
      <c r="I473" s="793">
        <f t="shared" si="28"/>
        <v>0</v>
      </c>
      <c r="J473" s="793"/>
      <c r="K473" s="813"/>
      <c r="L473" s="797"/>
      <c r="M473" s="813"/>
      <c r="N473" s="798"/>
      <c r="O473" s="797"/>
    </row>
    <row r="474" spans="3:15">
      <c r="C474" s="789">
        <f>IF(D455="","-",+C473+1)</f>
        <v>2028</v>
      </c>
      <c r="D474" s="737">
        <f t="shared" si="24"/>
        <v>15389086.243902454</v>
      </c>
      <c r="E474" s="790">
        <f t="shared" si="29"/>
        <v>530658.14634146343</v>
      </c>
      <c r="F474" s="737">
        <f t="shared" si="25"/>
        <v>14858428.097560991</v>
      </c>
      <c r="G474" s="795">
        <f t="shared" si="26"/>
        <v>2213835.9529524473</v>
      </c>
      <c r="H474" s="796">
        <f t="shared" si="27"/>
        <v>2213835.9529524473</v>
      </c>
      <c r="I474" s="793">
        <f t="shared" si="28"/>
        <v>0</v>
      </c>
      <c r="J474" s="793"/>
      <c r="K474" s="813"/>
      <c r="L474" s="797"/>
      <c r="M474" s="813"/>
      <c r="N474" s="797"/>
      <c r="O474" s="797"/>
    </row>
    <row r="475" spans="3:15">
      <c r="C475" s="789">
        <f>IF(D455="","-",+C474+1)</f>
        <v>2029</v>
      </c>
      <c r="D475" s="737">
        <f t="shared" si="24"/>
        <v>14858428.097560991</v>
      </c>
      <c r="E475" s="790">
        <f t="shared" si="29"/>
        <v>530658.14634146343</v>
      </c>
      <c r="F475" s="737">
        <f t="shared" si="25"/>
        <v>14327769.951219527</v>
      </c>
      <c r="G475" s="795">
        <f t="shared" si="26"/>
        <v>2154777.0825450444</v>
      </c>
      <c r="H475" s="796">
        <f t="shared" si="27"/>
        <v>2154777.0825450444</v>
      </c>
      <c r="I475" s="793">
        <f t="shared" si="28"/>
        <v>0</v>
      </c>
      <c r="J475" s="793"/>
      <c r="K475" s="813"/>
      <c r="L475" s="797"/>
      <c r="M475" s="813"/>
      <c r="N475" s="797"/>
      <c r="O475" s="797"/>
    </row>
    <row r="476" spans="3:15">
      <c r="C476" s="789">
        <f>IF(D455="","-",+C475+1)</f>
        <v>2030</v>
      </c>
      <c r="D476" s="737">
        <f t="shared" si="24"/>
        <v>14327769.951219527</v>
      </c>
      <c r="E476" s="790">
        <f t="shared" si="29"/>
        <v>530658.14634146343</v>
      </c>
      <c r="F476" s="737">
        <f t="shared" si="25"/>
        <v>13797111.804878063</v>
      </c>
      <c r="G476" s="795">
        <f t="shared" si="26"/>
        <v>2095718.2121376414</v>
      </c>
      <c r="H476" s="796">
        <f t="shared" si="27"/>
        <v>2095718.2121376414</v>
      </c>
      <c r="I476" s="793">
        <f t="shared" si="28"/>
        <v>0</v>
      </c>
      <c r="J476" s="793"/>
      <c r="K476" s="813"/>
      <c r="L476" s="797"/>
      <c r="M476" s="813"/>
      <c r="N476" s="797"/>
      <c r="O476" s="797"/>
    </row>
    <row r="477" spans="3:15">
      <c r="C477" s="789">
        <f>IF(D455="","-",+C476+1)</f>
        <v>2031</v>
      </c>
      <c r="D477" s="737">
        <f t="shared" si="24"/>
        <v>13797111.804878063</v>
      </c>
      <c r="E477" s="790">
        <f t="shared" si="29"/>
        <v>530658.14634146343</v>
      </c>
      <c r="F477" s="737">
        <f t="shared" si="25"/>
        <v>13266453.6585366</v>
      </c>
      <c r="G477" s="795">
        <f t="shared" si="26"/>
        <v>2036659.3417302384</v>
      </c>
      <c r="H477" s="796">
        <f t="shared" si="27"/>
        <v>2036659.3417302384</v>
      </c>
      <c r="I477" s="793">
        <f t="shared" si="28"/>
        <v>0</v>
      </c>
      <c r="J477" s="793"/>
      <c r="K477" s="813"/>
      <c r="L477" s="797"/>
      <c r="M477" s="813"/>
      <c r="N477" s="797"/>
      <c r="O477" s="797"/>
    </row>
    <row r="478" spans="3:15">
      <c r="C478" s="789">
        <f>IF(D455="","-",+C477+1)</f>
        <v>2032</v>
      </c>
      <c r="D478" s="737">
        <f t="shared" si="24"/>
        <v>13266453.6585366</v>
      </c>
      <c r="E478" s="790">
        <f t="shared" si="29"/>
        <v>530658.14634146343</v>
      </c>
      <c r="F478" s="737">
        <f t="shared" si="25"/>
        <v>12735795.512195136</v>
      </c>
      <c r="G478" s="795">
        <f t="shared" si="26"/>
        <v>1977600.4713228359</v>
      </c>
      <c r="H478" s="796">
        <f t="shared" si="27"/>
        <v>1977600.4713228359</v>
      </c>
      <c r="I478" s="793">
        <f t="shared" si="28"/>
        <v>0</v>
      </c>
      <c r="J478" s="793"/>
      <c r="K478" s="813"/>
      <c r="L478" s="797"/>
      <c r="M478" s="813"/>
      <c r="N478" s="797"/>
      <c r="O478" s="797"/>
    </row>
    <row r="479" spans="3:15">
      <c r="C479" s="789">
        <f>IF(D455="","-",+C478+1)</f>
        <v>2033</v>
      </c>
      <c r="D479" s="737">
        <f t="shared" si="24"/>
        <v>12735795.512195136</v>
      </c>
      <c r="E479" s="790">
        <f t="shared" si="29"/>
        <v>530658.14634146343</v>
      </c>
      <c r="F479" s="737">
        <f t="shared" si="25"/>
        <v>12205137.365853673</v>
      </c>
      <c r="G479" s="795">
        <f t="shared" si="26"/>
        <v>1918541.6009154324</v>
      </c>
      <c r="H479" s="796">
        <f t="shared" si="27"/>
        <v>1918541.6009154324</v>
      </c>
      <c r="I479" s="793">
        <f t="shared" si="28"/>
        <v>0</v>
      </c>
      <c r="J479" s="793"/>
      <c r="K479" s="813"/>
      <c r="L479" s="797"/>
      <c r="M479" s="813"/>
      <c r="N479" s="797"/>
      <c r="O479" s="797"/>
    </row>
    <row r="480" spans="3:15">
      <c r="C480" s="789">
        <f>IF(D455="","-",+C479+1)</f>
        <v>2034</v>
      </c>
      <c r="D480" s="737">
        <f t="shared" si="24"/>
        <v>12205137.365853673</v>
      </c>
      <c r="E480" s="790">
        <f t="shared" si="29"/>
        <v>530658.14634146343</v>
      </c>
      <c r="F480" s="737">
        <f t="shared" si="25"/>
        <v>11674479.219512209</v>
      </c>
      <c r="G480" s="795">
        <f t="shared" si="26"/>
        <v>1859482.7305080299</v>
      </c>
      <c r="H480" s="796">
        <f t="shared" si="27"/>
        <v>1859482.7305080299</v>
      </c>
      <c r="I480" s="793">
        <f t="shared" si="28"/>
        <v>0</v>
      </c>
      <c r="J480" s="793"/>
      <c r="K480" s="813"/>
      <c r="L480" s="797"/>
      <c r="M480" s="813"/>
      <c r="N480" s="797"/>
      <c r="O480" s="797"/>
    </row>
    <row r="481" spans="3:15">
      <c r="C481" s="789">
        <f>IF(D455="","-",+C480+1)</f>
        <v>2035</v>
      </c>
      <c r="D481" s="737">
        <f t="shared" si="24"/>
        <v>11674479.219512209</v>
      </c>
      <c r="E481" s="790">
        <f t="shared" si="29"/>
        <v>530658.14634146343</v>
      </c>
      <c r="F481" s="737">
        <f t="shared" si="25"/>
        <v>11143821.073170746</v>
      </c>
      <c r="G481" s="795">
        <f t="shared" si="26"/>
        <v>1800423.8601006269</v>
      </c>
      <c r="H481" s="796">
        <f t="shared" si="27"/>
        <v>1800423.8601006269</v>
      </c>
      <c r="I481" s="793">
        <f t="shared" si="28"/>
        <v>0</v>
      </c>
      <c r="J481" s="793"/>
      <c r="K481" s="813"/>
      <c r="L481" s="797"/>
      <c r="M481" s="813"/>
      <c r="N481" s="797"/>
      <c r="O481" s="797"/>
    </row>
    <row r="482" spans="3:15">
      <c r="C482" s="789">
        <f>IF(D455="","-",+C481+1)</f>
        <v>2036</v>
      </c>
      <c r="D482" s="737">
        <f t="shared" si="24"/>
        <v>11143821.073170746</v>
      </c>
      <c r="E482" s="790">
        <f t="shared" si="29"/>
        <v>530658.14634146343</v>
      </c>
      <c r="F482" s="737">
        <f t="shared" si="25"/>
        <v>10613162.926829282</v>
      </c>
      <c r="G482" s="795">
        <f t="shared" si="26"/>
        <v>1741364.989693224</v>
      </c>
      <c r="H482" s="796">
        <f t="shared" si="27"/>
        <v>1741364.989693224</v>
      </c>
      <c r="I482" s="793">
        <f t="shared" si="28"/>
        <v>0</v>
      </c>
      <c r="J482" s="793"/>
      <c r="K482" s="813"/>
      <c r="L482" s="797"/>
      <c r="M482" s="813"/>
      <c r="N482" s="797"/>
      <c r="O482" s="797"/>
    </row>
    <row r="483" spans="3:15">
      <c r="C483" s="789">
        <f>IF(D455="","-",+C482+1)</f>
        <v>2037</v>
      </c>
      <c r="D483" s="737">
        <f t="shared" si="24"/>
        <v>10613162.926829282</v>
      </c>
      <c r="E483" s="790">
        <f t="shared" si="29"/>
        <v>530658.14634146343</v>
      </c>
      <c r="F483" s="737">
        <f t="shared" si="25"/>
        <v>10082504.780487819</v>
      </c>
      <c r="G483" s="795">
        <f t="shared" si="26"/>
        <v>1682306.119285821</v>
      </c>
      <c r="H483" s="796">
        <f t="shared" si="27"/>
        <v>1682306.119285821</v>
      </c>
      <c r="I483" s="793">
        <f t="shared" si="28"/>
        <v>0</v>
      </c>
      <c r="J483" s="793"/>
      <c r="K483" s="813"/>
      <c r="L483" s="797"/>
      <c r="M483" s="813"/>
      <c r="N483" s="797"/>
      <c r="O483" s="797"/>
    </row>
    <row r="484" spans="3:15">
      <c r="C484" s="789">
        <f>IF(D455="","-",+C483+1)</f>
        <v>2038</v>
      </c>
      <c r="D484" s="737">
        <f t="shared" si="24"/>
        <v>10082504.780487819</v>
      </c>
      <c r="E484" s="790">
        <f t="shared" si="29"/>
        <v>530658.14634146343</v>
      </c>
      <c r="F484" s="737">
        <f t="shared" si="25"/>
        <v>9551846.6341463551</v>
      </c>
      <c r="G484" s="795">
        <f t="shared" si="26"/>
        <v>1623247.2488784185</v>
      </c>
      <c r="H484" s="796">
        <f t="shared" si="27"/>
        <v>1623247.2488784185</v>
      </c>
      <c r="I484" s="793">
        <f t="shared" si="28"/>
        <v>0</v>
      </c>
      <c r="J484" s="793"/>
      <c r="K484" s="813"/>
      <c r="L484" s="797"/>
      <c r="M484" s="813"/>
      <c r="N484" s="797"/>
      <c r="O484" s="797"/>
    </row>
    <row r="485" spans="3:15">
      <c r="C485" s="789">
        <f>IF(D455="","-",+C484+1)</f>
        <v>2039</v>
      </c>
      <c r="D485" s="737">
        <f t="shared" si="24"/>
        <v>9551846.6341463551</v>
      </c>
      <c r="E485" s="790">
        <f t="shared" si="29"/>
        <v>530658.14634146343</v>
      </c>
      <c r="F485" s="737">
        <f t="shared" si="25"/>
        <v>9021188.4878048915</v>
      </c>
      <c r="G485" s="795">
        <f t="shared" si="26"/>
        <v>1564188.3784710153</v>
      </c>
      <c r="H485" s="796">
        <f t="shared" si="27"/>
        <v>1564188.3784710153</v>
      </c>
      <c r="I485" s="793">
        <f t="shared" si="28"/>
        <v>0</v>
      </c>
      <c r="J485" s="793"/>
      <c r="K485" s="813"/>
      <c r="L485" s="797"/>
      <c r="M485" s="813"/>
      <c r="N485" s="797"/>
      <c r="O485" s="797"/>
    </row>
    <row r="486" spans="3:15">
      <c r="C486" s="789">
        <f>IF(D455="","-",+C485+1)</f>
        <v>2040</v>
      </c>
      <c r="D486" s="737">
        <f t="shared" si="24"/>
        <v>9021188.4878048915</v>
      </c>
      <c r="E486" s="790">
        <f t="shared" si="29"/>
        <v>530658.14634146343</v>
      </c>
      <c r="F486" s="737">
        <f t="shared" si="25"/>
        <v>8490530.341463428</v>
      </c>
      <c r="G486" s="795">
        <f t="shared" si="26"/>
        <v>1505129.5080636125</v>
      </c>
      <c r="H486" s="796">
        <f t="shared" si="27"/>
        <v>1505129.5080636125</v>
      </c>
      <c r="I486" s="793">
        <f t="shared" si="28"/>
        <v>0</v>
      </c>
      <c r="J486" s="793"/>
      <c r="K486" s="813"/>
      <c r="L486" s="797"/>
      <c r="M486" s="813"/>
      <c r="N486" s="797"/>
      <c r="O486" s="797"/>
    </row>
    <row r="487" spans="3:15">
      <c r="C487" s="789">
        <f>IF(D455="","-",+C486+1)</f>
        <v>2041</v>
      </c>
      <c r="D487" s="737">
        <f t="shared" si="24"/>
        <v>8490530.341463428</v>
      </c>
      <c r="E487" s="790">
        <f t="shared" si="29"/>
        <v>530658.14634146343</v>
      </c>
      <c r="F487" s="737">
        <f t="shared" si="25"/>
        <v>7959872.1951219644</v>
      </c>
      <c r="G487" s="795">
        <f t="shared" si="26"/>
        <v>1446070.6376562095</v>
      </c>
      <c r="H487" s="796">
        <f t="shared" si="27"/>
        <v>1446070.6376562095</v>
      </c>
      <c r="I487" s="793">
        <f t="shared" si="28"/>
        <v>0</v>
      </c>
      <c r="J487" s="793"/>
      <c r="K487" s="813"/>
      <c r="L487" s="797"/>
      <c r="M487" s="813"/>
      <c r="N487" s="797"/>
      <c r="O487" s="797"/>
    </row>
    <row r="488" spans="3:15">
      <c r="C488" s="789">
        <f>IF(D455="","-",+C487+1)</f>
        <v>2042</v>
      </c>
      <c r="D488" s="737">
        <f t="shared" si="24"/>
        <v>7959872.1951219644</v>
      </c>
      <c r="E488" s="790">
        <f t="shared" si="29"/>
        <v>530658.14634146343</v>
      </c>
      <c r="F488" s="737">
        <f t="shared" si="25"/>
        <v>7429214.0487805009</v>
      </c>
      <c r="G488" s="795">
        <f t="shared" si="26"/>
        <v>1387011.7672488065</v>
      </c>
      <c r="H488" s="796">
        <f t="shared" si="27"/>
        <v>1387011.7672488065</v>
      </c>
      <c r="I488" s="793">
        <f t="shared" si="28"/>
        <v>0</v>
      </c>
      <c r="J488" s="793"/>
      <c r="K488" s="813"/>
      <c r="L488" s="797"/>
      <c r="M488" s="813"/>
      <c r="N488" s="797"/>
      <c r="O488" s="797"/>
    </row>
    <row r="489" spans="3:15">
      <c r="C489" s="789">
        <f>IF(D455="","-",+C488+1)</f>
        <v>2043</v>
      </c>
      <c r="D489" s="737">
        <f t="shared" si="24"/>
        <v>7429214.0487805009</v>
      </c>
      <c r="E489" s="790">
        <f t="shared" si="29"/>
        <v>530658.14634146343</v>
      </c>
      <c r="F489" s="737">
        <f t="shared" si="25"/>
        <v>6898555.9024390373</v>
      </c>
      <c r="G489" s="791">
        <f t="shared" si="26"/>
        <v>1327952.8968414038</v>
      </c>
      <c r="H489" s="796">
        <f t="shared" si="27"/>
        <v>1327952.8968414038</v>
      </c>
      <c r="I489" s="793">
        <f t="shared" si="28"/>
        <v>0</v>
      </c>
      <c r="J489" s="793"/>
      <c r="K489" s="813"/>
      <c r="L489" s="797"/>
      <c r="M489" s="813"/>
      <c r="N489" s="797"/>
      <c r="O489" s="797"/>
    </row>
    <row r="490" spans="3:15">
      <c r="C490" s="789">
        <f>IF(D455="","-",+C489+1)</f>
        <v>2044</v>
      </c>
      <c r="D490" s="737">
        <f t="shared" si="24"/>
        <v>6898555.9024390373</v>
      </c>
      <c r="E490" s="790">
        <f t="shared" si="29"/>
        <v>530658.14634146343</v>
      </c>
      <c r="F490" s="737">
        <f t="shared" si="25"/>
        <v>6367897.7560975738</v>
      </c>
      <c r="G490" s="795">
        <f t="shared" si="26"/>
        <v>1268894.0264340008</v>
      </c>
      <c r="H490" s="796">
        <f t="shared" si="27"/>
        <v>1268894.0264340008</v>
      </c>
      <c r="I490" s="793">
        <f t="shared" si="28"/>
        <v>0</v>
      </c>
      <c r="J490" s="793"/>
      <c r="K490" s="813"/>
      <c r="L490" s="797"/>
      <c r="M490" s="813"/>
      <c r="N490" s="797"/>
      <c r="O490" s="797"/>
    </row>
    <row r="491" spans="3:15">
      <c r="C491" s="789">
        <f>IF(D455="","-",+C490+1)</f>
        <v>2045</v>
      </c>
      <c r="D491" s="737">
        <f t="shared" si="24"/>
        <v>6367897.7560975738</v>
      </c>
      <c r="E491" s="790">
        <f t="shared" si="29"/>
        <v>530658.14634146343</v>
      </c>
      <c r="F491" s="737">
        <f t="shared" si="25"/>
        <v>5837239.6097561102</v>
      </c>
      <c r="G491" s="795">
        <f t="shared" si="26"/>
        <v>1209835.1560265981</v>
      </c>
      <c r="H491" s="796">
        <f t="shared" si="27"/>
        <v>1209835.1560265981</v>
      </c>
      <c r="I491" s="793">
        <f t="shared" si="28"/>
        <v>0</v>
      </c>
      <c r="J491" s="793"/>
      <c r="K491" s="813"/>
      <c r="L491" s="797"/>
      <c r="M491" s="813"/>
      <c r="N491" s="797"/>
      <c r="O491" s="797"/>
    </row>
    <row r="492" spans="3:15">
      <c r="C492" s="789">
        <f>IF(D455="","-",+C491+1)</f>
        <v>2046</v>
      </c>
      <c r="D492" s="737">
        <f t="shared" si="24"/>
        <v>5837239.6097561102</v>
      </c>
      <c r="E492" s="790">
        <f t="shared" si="29"/>
        <v>530658.14634146343</v>
      </c>
      <c r="F492" s="737">
        <f t="shared" si="25"/>
        <v>5306581.4634146467</v>
      </c>
      <c r="G492" s="795">
        <f t="shared" si="26"/>
        <v>1150776.2856191951</v>
      </c>
      <c r="H492" s="796">
        <f t="shared" si="27"/>
        <v>1150776.2856191951</v>
      </c>
      <c r="I492" s="793">
        <f t="shared" si="28"/>
        <v>0</v>
      </c>
      <c r="J492" s="793"/>
      <c r="K492" s="813"/>
      <c r="L492" s="797"/>
      <c r="M492" s="813"/>
      <c r="N492" s="797"/>
      <c r="O492" s="797"/>
    </row>
    <row r="493" spans="3:15">
      <c r="C493" s="789">
        <f>IF(D455="","-",+C492+1)</f>
        <v>2047</v>
      </c>
      <c r="D493" s="737">
        <f t="shared" si="24"/>
        <v>5306581.4634146467</v>
      </c>
      <c r="E493" s="790">
        <f t="shared" si="29"/>
        <v>530658.14634146343</v>
      </c>
      <c r="F493" s="737">
        <f t="shared" si="25"/>
        <v>4775923.3170731831</v>
      </c>
      <c r="G493" s="795">
        <f t="shared" si="26"/>
        <v>1091717.4152117921</v>
      </c>
      <c r="H493" s="796">
        <f t="shared" si="27"/>
        <v>1091717.4152117921</v>
      </c>
      <c r="I493" s="793">
        <f t="shared" si="28"/>
        <v>0</v>
      </c>
      <c r="J493" s="793"/>
      <c r="K493" s="813"/>
      <c r="L493" s="797"/>
      <c r="M493" s="813"/>
      <c r="N493" s="797"/>
      <c r="O493" s="797"/>
    </row>
    <row r="494" spans="3:15">
      <c r="C494" s="789">
        <f>IF(D455="","-",+C493+1)</f>
        <v>2048</v>
      </c>
      <c r="D494" s="737">
        <f t="shared" si="24"/>
        <v>4775923.3170731831</v>
      </c>
      <c r="E494" s="790">
        <f t="shared" si="29"/>
        <v>530658.14634146343</v>
      </c>
      <c r="F494" s="737">
        <f t="shared" si="25"/>
        <v>4245265.1707317196</v>
      </c>
      <c r="G494" s="795">
        <f t="shared" si="26"/>
        <v>1032658.5448043894</v>
      </c>
      <c r="H494" s="796">
        <f t="shared" si="27"/>
        <v>1032658.5448043894</v>
      </c>
      <c r="I494" s="793">
        <f t="shared" si="28"/>
        <v>0</v>
      </c>
      <c r="J494" s="793"/>
      <c r="K494" s="813"/>
      <c r="L494" s="797"/>
      <c r="M494" s="813"/>
      <c r="N494" s="797"/>
      <c r="O494" s="797"/>
    </row>
    <row r="495" spans="3:15">
      <c r="C495" s="789">
        <f>IF(D455="","-",+C494+1)</f>
        <v>2049</v>
      </c>
      <c r="D495" s="737">
        <f t="shared" si="24"/>
        <v>4245265.1707317196</v>
      </c>
      <c r="E495" s="790">
        <f t="shared" si="29"/>
        <v>530658.14634146343</v>
      </c>
      <c r="F495" s="737">
        <f t="shared" si="25"/>
        <v>3714607.024390256</v>
      </c>
      <c r="G495" s="795">
        <f t="shared" si="26"/>
        <v>973599.67439698637</v>
      </c>
      <c r="H495" s="796">
        <f t="shared" si="27"/>
        <v>973599.67439698637</v>
      </c>
      <c r="I495" s="793">
        <f t="shared" si="28"/>
        <v>0</v>
      </c>
      <c r="J495" s="793"/>
      <c r="K495" s="813"/>
      <c r="L495" s="797"/>
      <c r="M495" s="813"/>
      <c r="N495" s="797"/>
      <c r="O495" s="797"/>
    </row>
    <row r="496" spans="3:15">
      <c r="C496" s="789">
        <f>IF(D455="","-",+C495+1)</f>
        <v>2050</v>
      </c>
      <c r="D496" s="737">
        <f t="shared" si="24"/>
        <v>3714607.024390256</v>
      </c>
      <c r="E496" s="790">
        <f t="shared" si="29"/>
        <v>530658.14634146343</v>
      </c>
      <c r="F496" s="737">
        <f t="shared" si="25"/>
        <v>3183948.8780487925</v>
      </c>
      <c r="G496" s="795">
        <f t="shared" si="26"/>
        <v>914540.80398958351</v>
      </c>
      <c r="H496" s="796">
        <f t="shared" si="27"/>
        <v>914540.80398958351</v>
      </c>
      <c r="I496" s="793">
        <f t="shared" si="28"/>
        <v>0</v>
      </c>
      <c r="J496" s="793"/>
      <c r="K496" s="813"/>
      <c r="L496" s="797"/>
      <c r="M496" s="813"/>
      <c r="N496" s="797"/>
      <c r="O496" s="797"/>
    </row>
    <row r="497" spans="3:15">
      <c r="C497" s="789">
        <f>IF(D455="","-",+C496+1)</f>
        <v>2051</v>
      </c>
      <c r="D497" s="737">
        <f t="shared" si="24"/>
        <v>3183948.8780487925</v>
      </c>
      <c r="E497" s="790">
        <f t="shared" si="29"/>
        <v>530658.14634146343</v>
      </c>
      <c r="F497" s="737">
        <f t="shared" si="25"/>
        <v>2653290.7317073289</v>
      </c>
      <c r="G497" s="795">
        <f t="shared" si="26"/>
        <v>855481.93358218065</v>
      </c>
      <c r="H497" s="796">
        <f t="shared" si="27"/>
        <v>855481.93358218065</v>
      </c>
      <c r="I497" s="793">
        <f t="shared" si="28"/>
        <v>0</v>
      </c>
      <c r="J497" s="793"/>
      <c r="K497" s="813"/>
      <c r="L497" s="797"/>
      <c r="M497" s="813"/>
      <c r="N497" s="797"/>
      <c r="O497" s="797"/>
    </row>
    <row r="498" spans="3:15">
      <c r="C498" s="789">
        <f>IF(D455="","-",+C497+1)</f>
        <v>2052</v>
      </c>
      <c r="D498" s="737">
        <f t="shared" si="24"/>
        <v>2653290.7317073289</v>
      </c>
      <c r="E498" s="790">
        <f t="shared" si="29"/>
        <v>530658.14634146343</v>
      </c>
      <c r="F498" s="737">
        <f t="shared" si="25"/>
        <v>2122632.5853658654</v>
      </c>
      <c r="G498" s="795">
        <f t="shared" si="26"/>
        <v>796423.06317477766</v>
      </c>
      <c r="H498" s="796">
        <f t="shared" si="27"/>
        <v>796423.06317477766</v>
      </c>
      <c r="I498" s="793">
        <f t="shared" si="28"/>
        <v>0</v>
      </c>
      <c r="J498" s="793"/>
      <c r="K498" s="813"/>
      <c r="L498" s="797"/>
      <c r="M498" s="813"/>
      <c r="N498" s="797"/>
      <c r="O498" s="797"/>
    </row>
    <row r="499" spans="3:15">
      <c r="C499" s="789">
        <f>IF(D455="","-",+C498+1)</f>
        <v>2053</v>
      </c>
      <c r="D499" s="737">
        <f t="shared" si="24"/>
        <v>2122632.5853658654</v>
      </c>
      <c r="E499" s="790">
        <f t="shared" si="29"/>
        <v>530658.14634146343</v>
      </c>
      <c r="F499" s="737">
        <f t="shared" si="25"/>
        <v>1591974.4390244018</v>
      </c>
      <c r="G499" s="795">
        <f t="shared" si="26"/>
        <v>737364.1927673748</v>
      </c>
      <c r="H499" s="796">
        <f t="shared" si="27"/>
        <v>737364.1927673748</v>
      </c>
      <c r="I499" s="793">
        <f t="shared" si="28"/>
        <v>0</v>
      </c>
      <c r="J499" s="793"/>
      <c r="K499" s="813"/>
      <c r="L499" s="797"/>
      <c r="M499" s="813"/>
      <c r="N499" s="797"/>
      <c r="O499" s="797"/>
    </row>
    <row r="500" spans="3:15">
      <c r="C500" s="789">
        <f>IF(D455="","-",+C499+1)</f>
        <v>2054</v>
      </c>
      <c r="D500" s="737">
        <f t="shared" si="24"/>
        <v>1591974.4390244018</v>
      </c>
      <c r="E500" s="790">
        <f t="shared" si="29"/>
        <v>530658.14634146343</v>
      </c>
      <c r="F500" s="737">
        <f t="shared" si="25"/>
        <v>1061316.2926829383</v>
      </c>
      <c r="G500" s="795">
        <f t="shared" si="26"/>
        <v>678305.32235997193</v>
      </c>
      <c r="H500" s="796">
        <f t="shared" si="27"/>
        <v>678305.32235997193</v>
      </c>
      <c r="I500" s="793">
        <f t="shared" si="28"/>
        <v>0</v>
      </c>
      <c r="J500" s="793"/>
      <c r="K500" s="813"/>
      <c r="L500" s="797"/>
      <c r="M500" s="813"/>
      <c r="N500" s="797"/>
      <c r="O500" s="797"/>
    </row>
    <row r="501" spans="3:15">
      <c r="C501" s="789">
        <f>IF(D455="","-",+C500+1)</f>
        <v>2055</v>
      </c>
      <c r="D501" s="737">
        <f t="shared" si="24"/>
        <v>1061316.2926829383</v>
      </c>
      <c r="E501" s="790">
        <f t="shared" si="29"/>
        <v>530658.14634146343</v>
      </c>
      <c r="F501" s="737">
        <f t="shared" si="25"/>
        <v>530658.14634147484</v>
      </c>
      <c r="G501" s="795">
        <f t="shared" si="26"/>
        <v>619246.45195256907</v>
      </c>
      <c r="H501" s="796">
        <f t="shared" si="27"/>
        <v>619246.45195256907</v>
      </c>
      <c r="I501" s="793">
        <f t="shared" si="28"/>
        <v>0</v>
      </c>
      <c r="J501" s="793"/>
      <c r="K501" s="813"/>
      <c r="L501" s="797"/>
      <c r="M501" s="813"/>
      <c r="N501" s="797"/>
      <c r="O501" s="797"/>
    </row>
    <row r="502" spans="3:15">
      <c r="C502" s="789">
        <f>IF(D455="","-",+C501+1)</f>
        <v>2056</v>
      </c>
      <c r="D502" s="737">
        <f t="shared" si="24"/>
        <v>530658.14634147484</v>
      </c>
      <c r="E502" s="790">
        <f t="shared" si="29"/>
        <v>530658.14634146343</v>
      </c>
      <c r="F502" s="737">
        <f t="shared" si="25"/>
        <v>1.1408701539039612E-8</v>
      </c>
      <c r="G502" s="795">
        <f t="shared" si="26"/>
        <v>560187.58154516609</v>
      </c>
      <c r="H502" s="796">
        <f t="shared" si="27"/>
        <v>560187.58154516609</v>
      </c>
      <c r="I502" s="793">
        <f t="shared" si="28"/>
        <v>0</v>
      </c>
      <c r="J502" s="793"/>
      <c r="K502" s="813"/>
      <c r="L502" s="797"/>
      <c r="M502" s="813"/>
      <c r="N502" s="797"/>
      <c r="O502" s="797"/>
    </row>
    <row r="503" spans="3:15">
      <c r="C503" s="789">
        <f>IF(D455="","-",+C502+1)</f>
        <v>2057</v>
      </c>
      <c r="D503" s="737">
        <f t="shared" si="24"/>
        <v>1.1408701539039612E-8</v>
      </c>
      <c r="E503" s="790">
        <f t="shared" si="29"/>
        <v>1.1408701539039612E-8</v>
      </c>
      <c r="F503" s="737">
        <f t="shared" si="25"/>
        <v>0</v>
      </c>
      <c r="G503" s="795">
        <f t="shared" si="26"/>
        <v>1.2043559432352076E-8</v>
      </c>
      <c r="H503" s="796">
        <f t="shared" si="27"/>
        <v>1.2043559432352076E-8</v>
      </c>
      <c r="I503" s="793">
        <f t="shared" si="28"/>
        <v>0</v>
      </c>
      <c r="J503" s="793"/>
      <c r="K503" s="813"/>
      <c r="L503" s="797"/>
      <c r="M503" s="813"/>
      <c r="N503" s="797"/>
      <c r="O503" s="797"/>
    </row>
    <row r="504" spans="3:15">
      <c r="C504" s="789">
        <f>IF(D455="","-",+C503+1)</f>
        <v>2058</v>
      </c>
      <c r="D504" s="737">
        <f t="shared" si="24"/>
        <v>0</v>
      </c>
      <c r="E504" s="790">
        <f t="shared" si="29"/>
        <v>0</v>
      </c>
      <c r="F504" s="737">
        <f t="shared" si="25"/>
        <v>0</v>
      </c>
      <c r="G504" s="795">
        <f t="shared" si="26"/>
        <v>0</v>
      </c>
      <c r="H504" s="796">
        <f t="shared" si="27"/>
        <v>0</v>
      </c>
      <c r="I504" s="793">
        <f t="shared" si="28"/>
        <v>0</v>
      </c>
      <c r="J504" s="793"/>
      <c r="K504" s="813"/>
      <c r="L504" s="797"/>
      <c r="M504" s="813"/>
      <c r="N504" s="797"/>
      <c r="O504" s="797"/>
    </row>
    <row r="505" spans="3:15">
      <c r="C505" s="789">
        <f>IF(D455="","-",+C504+1)</f>
        <v>2059</v>
      </c>
      <c r="D505" s="737">
        <f t="shared" si="24"/>
        <v>0</v>
      </c>
      <c r="E505" s="790">
        <f t="shared" si="29"/>
        <v>0</v>
      </c>
      <c r="F505" s="737">
        <f t="shared" si="25"/>
        <v>0</v>
      </c>
      <c r="G505" s="795">
        <f t="shared" si="26"/>
        <v>0</v>
      </c>
      <c r="H505" s="796">
        <f t="shared" si="27"/>
        <v>0</v>
      </c>
      <c r="I505" s="793">
        <f t="shared" si="28"/>
        <v>0</v>
      </c>
      <c r="J505" s="793"/>
      <c r="K505" s="813"/>
      <c r="L505" s="797"/>
      <c r="M505" s="813"/>
      <c r="N505" s="797"/>
      <c r="O505" s="797"/>
    </row>
    <row r="506" spans="3:15">
      <c r="C506" s="789">
        <f>IF(D455="","-",+C505+1)</f>
        <v>2060</v>
      </c>
      <c r="D506" s="737">
        <f t="shared" si="24"/>
        <v>0</v>
      </c>
      <c r="E506" s="790">
        <f t="shared" si="29"/>
        <v>0</v>
      </c>
      <c r="F506" s="737">
        <f t="shared" si="25"/>
        <v>0</v>
      </c>
      <c r="G506" s="795">
        <f t="shared" si="26"/>
        <v>0</v>
      </c>
      <c r="H506" s="796">
        <f t="shared" si="27"/>
        <v>0</v>
      </c>
      <c r="I506" s="793">
        <f t="shared" si="28"/>
        <v>0</v>
      </c>
      <c r="J506" s="793"/>
      <c r="K506" s="813"/>
      <c r="L506" s="797"/>
      <c r="M506" s="813"/>
      <c r="N506" s="797"/>
      <c r="O506" s="797"/>
    </row>
    <row r="507" spans="3:15">
      <c r="C507" s="789">
        <f>IF(D455="","-",+C506+1)</f>
        <v>2061</v>
      </c>
      <c r="D507" s="737">
        <f t="shared" si="24"/>
        <v>0</v>
      </c>
      <c r="E507" s="790">
        <f t="shared" si="29"/>
        <v>0</v>
      </c>
      <c r="F507" s="737">
        <f t="shared" si="25"/>
        <v>0</v>
      </c>
      <c r="G507" s="795">
        <f t="shared" si="26"/>
        <v>0</v>
      </c>
      <c r="H507" s="796">
        <f t="shared" si="27"/>
        <v>0</v>
      </c>
      <c r="I507" s="793">
        <f t="shared" si="28"/>
        <v>0</v>
      </c>
      <c r="J507" s="793"/>
      <c r="K507" s="813"/>
      <c r="L507" s="797"/>
      <c r="M507" s="813"/>
      <c r="N507" s="797"/>
      <c r="O507" s="797"/>
    </row>
    <row r="508" spans="3:15">
      <c r="C508" s="789">
        <f>IF(D455="","-",+C507+1)</f>
        <v>2062</v>
      </c>
      <c r="D508" s="737">
        <f t="shared" si="24"/>
        <v>0</v>
      </c>
      <c r="E508" s="790">
        <f t="shared" si="29"/>
        <v>0</v>
      </c>
      <c r="F508" s="737">
        <f t="shared" si="25"/>
        <v>0</v>
      </c>
      <c r="G508" s="795">
        <f t="shared" si="26"/>
        <v>0</v>
      </c>
      <c r="H508" s="796">
        <f t="shared" si="27"/>
        <v>0</v>
      </c>
      <c r="I508" s="793">
        <f t="shared" si="28"/>
        <v>0</v>
      </c>
      <c r="J508" s="793"/>
      <c r="K508" s="813"/>
      <c r="L508" s="797"/>
      <c r="M508" s="813"/>
      <c r="N508" s="797"/>
      <c r="O508" s="797"/>
    </row>
    <row r="509" spans="3:15">
      <c r="C509" s="789">
        <f>IF(D455="","-",+C508+1)</f>
        <v>2063</v>
      </c>
      <c r="D509" s="737">
        <f t="shared" si="24"/>
        <v>0</v>
      </c>
      <c r="E509" s="790">
        <f t="shared" si="29"/>
        <v>0</v>
      </c>
      <c r="F509" s="737">
        <f t="shared" si="25"/>
        <v>0</v>
      </c>
      <c r="G509" s="795">
        <f t="shared" si="26"/>
        <v>0</v>
      </c>
      <c r="H509" s="796">
        <f t="shared" si="27"/>
        <v>0</v>
      </c>
      <c r="I509" s="793">
        <f t="shared" si="28"/>
        <v>0</v>
      </c>
      <c r="J509" s="793"/>
      <c r="K509" s="813"/>
      <c r="L509" s="797"/>
      <c r="M509" s="813"/>
      <c r="N509" s="797"/>
      <c r="O509" s="797"/>
    </row>
    <row r="510" spans="3:15">
      <c r="C510" s="789">
        <f>IF(D455="","-",+C509+1)</f>
        <v>2064</v>
      </c>
      <c r="D510" s="737">
        <f t="shared" si="24"/>
        <v>0</v>
      </c>
      <c r="E510" s="790">
        <f t="shared" si="29"/>
        <v>0</v>
      </c>
      <c r="F510" s="737">
        <f t="shared" si="25"/>
        <v>0</v>
      </c>
      <c r="G510" s="795">
        <f t="shared" si="26"/>
        <v>0</v>
      </c>
      <c r="H510" s="796">
        <f t="shared" si="27"/>
        <v>0</v>
      </c>
      <c r="I510" s="793">
        <f t="shared" si="28"/>
        <v>0</v>
      </c>
      <c r="J510" s="793"/>
      <c r="K510" s="813"/>
      <c r="L510" s="797"/>
      <c r="M510" s="813"/>
      <c r="N510" s="797"/>
      <c r="O510" s="797"/>
    </row>
    <row r="511" spans="3:15">
      <c r="C511" s="789">
        <f>IF(D455="","-",+C510+1)</f>
        <v>2065</v>
      </c>
      <c r="D511" s="737">
        <f t="shared" si="24"/>
        <v>0</v>
      </c>
      <c r="E511" s="790">
        <f t="shared" si="29"/>
        <v>0</v>
      </c>
      <c r="F511" s="737">
        <f t="shared" si="25"/>
        <v>0</v>
      </c>
      <c r="G511" s="795">
        <f t="shared" si="26"/>
        <v>0</v>
      </c>
      <c r="H511" s="796">
        <f t="shared" si="27"/>
        <v>0</v>
      </c>
      <c r="I511" s="793">
        <f t="shared" si="28"/>
        <v>0</v>
      </c>
      <c r="J511" s="793"/>
      <c r="K511" s="813"/>
      <c r="L511" s="797"/>
      <c r="M511" s="813"/>
      <c r="N511" s="797"/>
      <c r="O511" s="797"/>
    </row>
    <row r="512" spans="3:15">
      <c r="C512" s="789">
        <f>IF(D455="","-",+C511+1)</f>
        <v>2066</v>
      </c>
      <c r="D512" s="737">
        <f t="shared" si="24"/>
        <v>0</v>
      </c>
      <c r="E512" s="790">
        <f t="shared" si="29"/>
        <v>0</v>
      </c>
      <c r="F512" s="737">
        <f t="shared" si="25"/>
        <v>0</v>
      </c>
      <c r="G512" s="795">
        <f t="shared" si="26"/>
        <v>0</v>
      </c>
      <c r="H512" s="796">
        <f t="shared" si="27"/>
        <v>0</v>
      </c>
      <c r="I512" s="793">
        <f t="shared" si="28"/>
        <v>0</v>
      </c>
      <c r="J512" s="793"/>
      <c r="K512" s="813"/>
      <c r="L512" s="797"/>
      <c r="M512" s="813"/>
      <c r="N512" s="797"/>
      <c r="O512" s="797"/>
    </row>
    <row r="513" spans="3:15">
      <c r="C513" s="789">
        <f>IF(D455="","-",+C512+1)</f>
        <v>2067</v>
      </c>
      <c r="D513" s="737">
        <f t="shared" si="24"/>
        <v>0</v>
      </c>
      <c r="E513" s="790">
        <f t="shared" si="29"/>
        <v>0</v>
      </c>
      <c r="F513" s="737">
        <f t="shared" si="25"/>
        <v>0</v>
      </c>
      <c r="G513" s="795">
        <f t="shared" si="26"/>
        <v>0</v>
      </c>
      <c r="H513" s="796">
        <f t="shared" si="27"/>
        <v>0</v>
      </c>
      <c r="I513" s="793">
        <f t="shared" si="28"/>
        <v>0</v>
      </c>
      <c r="J513" s="793"/>
      <c r="K513" s="813"/>
      <c r="L513" s="797"/>
      <c r="M513" s="813"/>
      <c r="N513" s="797"/>
      <c r="O513" s="797"/>
    </row>
    <row r="514" spans="3:15">
      <c r="C514" s="789">
        <f>IF(D455="","-",+C513+1)</f>
        <v>2068</v>
      </c>
      <c r="D514" s="737">
        <f t="shared" si="24"/>
        <v>0</v>
      </c>
      <c r="E514" s="790">
        <f t="shared" si="29"/>
        <v>0</v>
      </c>
      <c r="F514" s="737">
        <f t="shared" si="25"/>
        <v>0</v>
      </c>
      <c r="G514" s="795">
        <f t="shared" si="26"/>
        <v>0</v>
      </c>
      <c r="H514" s="796">
        <f t="shared" si="27"/>
        <v>0</v>
      </c>
      <c r="I514" s="793">
        <f t="shared" si="28"/>
        <v>0</v>
      </c>
      <c r="J514" s="793"/>
      <c r="K514" s="813"/>
      <c r="L514" s="797"/>
      <c r="M514" s="813"/>
      <c r="N514" s="797"/>
      <c r="O514" s="797"/>
    </row>
    <row r="515" spans="3:15">
      <c r="C515" s="789">
        <f>IF(D455="","-",+C514+1)</f>
        <v>2069</v>
      </c>
      <c r="D515" s="737">
        <f t="shared" si="24"/>
        <v>0</v>
      </c>
      <c r="E515" s="790">
        <f t="shared" si="29"/>
        <v>0</v>
      </c>
      <c r="F515" s="737">
        <f t="shared" si="25"/>
        <v>0</v>
      </c>
      <c r="G515" s="795">
        <f t="shared" si="26"/>
        <v>0</v>
      </c>
      <c r="H515" s="796">
        <f t="shared" si="27"/>
        <v>0</v>
      </c>
      <c r="I515" s="793">
        <f t="shared" si="28"/>
        <v>0</v>
      </c>
      <c r="J515" s="793"/>
      <c r="K515" s="813"/>
      <c r="L515" s="797"/>
      <c r="M515" s="813"/>
      <c r="N515" s="797"/>
      <c r="O515" s="797"/>
    </row>
    <row r="516" spans="3:15">
      <c r="C516" s="789">
        <f>IF(D455="","-",+C515+1)</f>
        <v>2070</v>
      </c>
      <c r="D516" s="737">
        <f t="shared" si="24"/>
        <v>0</v>
      </c>
      <c r="E516" s="790">
        <f t="shared" si="29"/>
        <v>0</v>
      </c>
      <c r="F516" s="737">
        <f t="shared" si="25"/>
        <v>0</v>
      </c>
      <c r="G516" s="795">
        <f t="shared" si="26"/>
        <v>0</v>
      </c>
      <c r="H516" s="796">
        <f t="shared" si="27"/>
        <v>0</v>
      </c>
      <c r="I516" s="793">
        <f t="shared" si="28"/>
        <v>0</v>
      </c>
      <c r="J516" s="793"/>
      <c r="K516" s="813"/>
      <c r="L516" s="797"/>
      <c r="M516" s="813"/>
      <c r="N516" s="797"/>
      <c r="O516" s="797"/>
    </row>
    <row r="517" spans="3:15">
      <c r="C517" s="789">
        <f>IF(D455="","-",+C516+1)</f>
        <v>2071</v>
      </c>
      <c r="D517" s="737">
        <f t="shared" si="24"/>
        <v>0</v>
      </c>
      <c r="E517" s="790">
        <f t="shared" si="29"/>
        <v>0</v>
      </c>
      <c r="F517" s="737">
        <f t="shared" si="25"/>
        <v>0</v>
      </c>
      <c r="G517" s="795">
        <f t="shared" si="26"/>
        <v>0</v>
      </c>
      <c r="H517" s="796">
        <f t="shared" si="27"/>
        <v>0</v>
      </c>
      <c r="I517" s="793">
        <f t="shared" si="28"/>
        <v>0</v>
      </c>
      <c r="J517" s="793"/>
      <c r="K517" s="813"/>
      <c r="L517" s="797"/>
      <c r="M517" s="813"/>
      <c r="N517" s="797"/>
      <c r="O517" s="797"/>
    </row>
    <row r="518" spans="3:15">
      <c r="C518" s="789">
        <f>IF(D455="","-",+C517+1)</f>
        <v>2072</v>
      </c>
      <c r="D518" s="737">
        <f t="shared" si="24"/>
        <v>0</v>
      </c>
      <c r="E518" s="790">
        <f t="shared" si="29"/>
        <v>0</v>
      </c>
      <c r="F518" s="737">
        <f t="shared" si="25"/>
        <v>0</v>
      </c>
      <c r="G518" s="795">
        <f t="shared" si="26"/>
        <v>0</v>
      </c>
      <c r="H518" s="796">
        <f t="shared" si="27"/>
        <v>0</v>
      </c>
      <c r="I518" s="793">
        <f t="shared" si="28"/>
        <v>0</v>
      </c>
      <c r="J518" s="793"/>
      <c r="K518" s="813"/>
      <c r="L518" s="797"/>
      <c r="M518" s="813"/>
      <c r="N518" s="797"/>
      <c r="O518" s="797"/>
    </row>
    <row r="519" spans="3:15">
      <c r="C519" s="789">
        <f>IF(D455="","-",+C518+1)</f>
        <v>2073</v>
      </c>
      <c r="D519" s="737">
        <f t="shared" si="24"/>
        <v>0</v>
      </c>
      <c r="E519" s="790">
        <f t="shared" si="29"/>
        <v>0</v>
      </c>
      <c r="F519" s="737">
        <f t="shared" si="25"/>
        <v>0</v>
      </c>
      <c r="G519" s="795">
        <f t="shared" si="26"/>
        <v>0</v>
      </c>
      <c r="H519" s="796">
        <f t="shared" si="27"/>
        <v>0</v>
      </c>
      <c r="I519" s="793">
        <f t="shared" si="28"/>
        <v>0</v>
      </c>
      <c r="J519" s="793"/>
      <c r="K519" s="813"/>
      <c r="L519" s="797"/>
      <c r="M519" s="813"/>
      <c r="N519" s="797"/>
      <c r="O519" s="797"/>
    </row>
    <row r="520" spans="3:15" ht="13.5" thickBot="1">
      <c r="C520" s="799">
        <f>IF(D455="","-",+C519+1)</f>
        <v>2074</v>
      </c>
      <c r="D520" s="800">
        <f t="shared" si="24"/>
        <v>0</v>
      </c>
      <c r="E520" s="801">
        <f t="shared" si="29"/>
        <v>0</v>
      </c>
      <c r="F520" s="800">
        <f t="shared" si="25"/>
        <v>0</v>
      </c>
      <c r="G520" s="802">
        <f t="shared" si="26"/>
        <v>0</v>
      </c>
      <c r="H520" s="802">
        <f t="shared" si="27"/>
        <v>0</v>
      </c>
      <c r="I520" s="803">
        <f t="shared" si="28"/>
        <v>0</v>
      </c>
      <c r="J520" s="793"/>
      <c r="K520" s="814"/>
      <c r="L520" s="804"/>
      <c r="M520" s="814"/>
      <c r="N520" s="804"/>
      <c r="O520" s="804"/>
    </row>
    <row r="521" spans="3:15">
      <c r="C521" s="737" t="s">
        <v>83</v>
      </c>
      <c r="D521" s="731"/>
      <c r="E521" s="731">
        <f>SUM(E461:E520)</f>
        <v>21756983.999999996</v>
      </c>
      <c r="F521" s="731"/>
      <c r="G521" s="731">
        <f>SUM(G461:G520)</f>
        <v>73817378.264125735</v>
      </c>
      <c r="H521" s="731">
        <f>SUM(H461:H520)</f>
        <v>73817378.264125735</v>
      </c>
      <c r="I521" s="731">
        <f>SUM(I461:I520)</f>
        <v>0</v>
      </c>
      <c r="J521" s="731"/>
      <c r="K521" s="731"/>
      <c r="L521" s="731"/>
      <c r="M521" s="731"/>
      <c r="N521" s="731"/>
      <c r="O521" s="314"/>
    </row>
    <row r="522" spans="3:15">
      <c r="D522" s="539"/>
      <c r="E522" s="314"/>
      <c r="F522" s="314"/>
      <c r="G522" s="314"/>
      <c r="H522" s="709"/>
      <c r="I522" s="709"/>
      <c r="J522" s="731"/>
      <c r="K522" s="709"/>
      <c r="L522" s="709"/>
      <c r="M522" s="709"/>
      <c r="N522" s="709"/>
      <c r="O522" s="314"/>
    </row>
    <row r="523" spans="3:15">
      <c r="C523" s="314" t="s">
        <v>13</v>
      </c>
      <c r="D523" s="539"/>
      <c r="E523" s="314"/>
      <c r="F523" s="314"/>
      <c r="G523" s="314"/>
      <c r="H523" s="709"/>
      <c r="I523" s="709"/>
      <c r="J523" s="731"/>
      <c r="K523" s="709"/>
      <c r="L523" s="709"/>
      <c r="M523" s="709"/>
      <c r="N523" s="709"/>
      <c r="O523" s="314"/>
    </row>
    <row r="524" spans="3:15">
      <c r="C524" s="314"/>
      <c r="D524" s="539"/>
      <c r="E524" s="314"/>
      <c r="F524" s="314"/>
      <c r="G524" s="314"/>
      <c r="H524" s="709"/>
      <c r="I524" s="709"/>
      <c r="J524" s="731"/>
      <c r="K524" s="709"/>
      <c r="L524" s="709"/>
      <c r="M524" s="709"/>
      <c r="N524" s="709"/>
      <c r="O524" s="314"/>
    </row>
    <row r="525" spans="3:15">
      <c r="C525" s="750" t="s">
        <v>14</v>
      </c>
      <c r="D525" s="737"/>
      <c r="E525" s="737"/>
      <c r="F525" s="737"/>
      <c r="G525" s="731"/>
      <c r="H525" s="731"/>
      <c r="I525" s="805"/>
      <c r="J525" s="805"/>
      <c r="K525" s="805"/>
      <c r="L525" s="805"/>
      <c r="M525" s="805"/>
      <c r="N525" s="805"/>
      <c r="O525" s="314"/>
    </row>
    <row r="526" spans="3:15">
      <c r="C526" s="736" t="s">
        <v>263</v>
      </c>
      <c r="D526" s="737"/>
      <c r="E526" s="737"/>
      <c r="F526" s="737"/>
      <c r="G526" s="731"/>
      <c r="H526" s="731"/>
      <c r="I526" s="805"/>
      <c r="J526" s="805"/>
      <c r="K526" s="805"/>
      <c r="L526" s="805"/>
      <c r="M526" s="805"/>
      <c r="N526" s="805"/>
      <c r="O526" s="314"/>
    </row>
    <row r="527" spans="3:15">
      <c r="C527" s="736" t="s">
        <v>84</v>
      </c>
      <c r="D527" s="737"/>
      <c r="E527" s="737"/>
      <c r="F527" s="737"/>
      <c r="G527" s="731"/>
      <c r="H527" s="731"/>
      <c r="I527" s="805"/>
      <c r="J527" s="805"/>
      <c r="K527" s="805"/>
      <c r="L527" s="805"/>
      <c r="M527" s="805"/>
      <c r="N527" s="805"/>
      <c r="O527" s="314"/>
    </row>
    <row r="528" spans="3:15">
      <c r="C528" s="736"/>
      <c r="D528" s="737"/>
      <c r="E528" s="737"/>
      <c r="F528" s="737"/>
      <c r="G528" s="731"/>
      <c r="H528" s="731"/>
      <c r="I528" s="805"/>
      <c r="J528" s="805"/>
      <c r="K528" s="805"/>
      <c r="L528" s="805"/>
      <c r="M528" s="805"/>
      <c r="N528" s="805"/>
      <c r="O528" s="314"/>
    </row>
    <row r="529" spans="1:16">
      <c r="C529" s="1568" t="s">
        <v>6</v>
      </c>
      <c r="D529" s="1568"/>
      <c r="E529" s="1568"/>
      <c r="F529" s="1568"/>
      <c r="G529" s="1568"/>
      <c r="H529" s="1568"/>
      <c r="I529" s="1568"/>
      <c r="J529" s="1568"/>
      <c r="K529" s="1568"/>
      <c r="L529" s="1568"/>
      <c r="M529" s="1568"/>
      <c r="N529" s="1568"/>
      <c r="O529" s="1568"/>
    </row>
    <row r="530" spans="1:16">
      <c r="C530" s="1568"/>
      <c r="D530" s="1568"/>
      <c r="E530" s="1568"/>
      <c r="F530" s="1568"/>
      <c r="G530" s="1568"/>
      <c r="H530" s="1568"/>
      <c r="I530" s="1568"/>
      <c r="J530" s="1568"/>
      <c r="K530" s="1568"/>
      <c r="L530" s="1568"/>
      <c r="M530" s="1568"/>
      <c r="N530" s="1568"/>
      <c r="O530" s="1568"/>
    </row>
    <row r="531" spans="1:16">
      <c r="C531" s="736"/>
      <c r="D531" s="737"/>
      <c r="E531" s="737"/>
      <c r="F531" s="737"/>
      <c r="G531" s="731"/>
      <c r="H531" s="731"/>
    </row>
    <row r="532" spans="1:16" ht="20.25">
      <c r="A532" s="738" t="str">
        <f>""&amp;A456&amp;" Worksheet J -  ATRR PROJECTED Calculation for PJM Projects Charged to Benefiting Zones"</f>
        <v xml:space="preserve"> Worksheet J -  ATRR PROJECTED Calculation for PJM Projects Charged to Benefiting Zones</v>
      </c>
      <c r="B532" s="348"/>
      <c r="C532" s="726"/>
      <c r="D532" s="539"/>
      <c r="E532" s="314"/>
      <c r="F532" s="708"/>
      <c r="G532" s="314"/>
      <c r="H532" s="709"/>
      <c r="K532" s="565"/>
      <c r="L532" s="565"/>
      <c r="M532" s="565"/>
      <c r="N532" s="654" t="str">
        <f>"Page "&amp;SUM(P$8:P532)&amp;" of "</f>
        <v xml:space="preserve">Page 7 of </v>
      </c>
      <c r="O532" s="655">
        <f>COUNT(P$8:P$56653)</f>
        <v>12</v>
      </c>
      <c r="P532" s="739">
        <v>1</v>
      </c>
    </row>
    <row r="533" spans="1:16">
      <c r="B533" s="348"/>
      <c r="C533" s="314"/>
      <c r="D533" s="539"/>
      <c r="E533" s="314"/>
      <c r="F533" s="314"/>
      <c r="G533" s="314"/>
      <c r="H533" s="709"/>
      <c r="I533" s="314"/>
      <c r="J533" s="427"/>
      <c r="K533" s="314"/>
      <c r="L533" s="314"/>
      <c r="M533" s="314"/>
      <c r="N533" s="314"/>
      <c r="O533" s="314"/>
      <c r="P533" s="427"/>
    </row>
    <row r="534" spans="1:16" ht="18">
      <c r="B534" s="658" t="s">
        <v>466</v>
      </c>
      <c r="C534" s="740" t="s">
        <v>85</v>
      </c>
      <c r="D534" s="539"/>
      <c r="E534" s="314"/>
      <c r="F534" s="314"/>
      <c r="G534" s="314"/>
      <c r="H534" s="709"/>
      <c r="I534" s="709"/>
      <c r="J534" s="731"/>
      <c r="K534" s="709"/>
      <c r="L534" s="709"/>
      <c r="M534" s="709"/>
      <c r="N534" s="709"/>
      <c r="O534" s="314"/>
    </row>
    <row r="535" spans="1:16" ht="18.75">
      <c r="B535" s="658"/>
      <c r="C535" s="657"/>
      <c r="D535" s="539"/>
      <c r="E535" s="314"/>
      <c r="F535" s="314"/>
      <c r="G535" s="314"/>
      <c r="H535" s="709"/>
      <c r="I535" s="709"/>
      <c r="J535" s="731"/>
      <c r="K535" s="709"/>
      <c r="L535" s="709"/>
      <c r="M535" s="709"/>
      <c r="N535" s="709"/>
      <c r="O535" s="314"/>
    </row>
    <row r="536" spans="1:16" ht="18.75">
      <c r="B536" s="658"/>
      <c r="C536" s="657" t="s">
        <v>86</v>
      </c>
      <c r="D536" s="539"/>
      <c r="E536" s="314"/>
      <c r="F536" s="314"/>
      <c r="G536" s="314"/>
      <c r="H536" s="709"/>
      <c r="I536" s="709"/>
      <c r="J536" s="731"/>
      <c r="K536" s="709"/>
      <c r="L536" s="709"/>
      <c r="M536" s="709"/>
      <c r="N536" s="709"/>
      <c r="O536" s="314"/>
    </row>
    <row r="537" spans="1:16" ht="15.75" thickBot="1">
      <c r="C537" s="240"/>
      <c r="D537" s="539"/>
      <c r="E537" s="314"/>
      <c r="F537" s="314"/>
      <c r="G537" s="314"/>
      <c r="H537" s="709"/>
      <c r="I537" s="709"/>
      <c r="J537" s="731"/>
      <c r="K537" s="709"/>
      <c r="L537" s="709"/>
      <c r="M537" s="709"/>
      <c r="N537" s="709"/>
      <c r="O537" s="314"/>
    </row>
    <row r="538" spans="1:16" ht="15.75">
      <c r="C538" s="660" t="s">
        <v>87</v>
      </c>
      <c r="D538" s="539"/>
      <c r="E538" s="314"/>
      <c r="F538" s="314"/>
      <c r="G538" s="807"/>
      <c r="H538" s="314" t="s">
        <v>66</v>
      </c>
      <c r="I538" s="314"/>
      <c r="J538" s="427"/>
      <c r="K538" s="741" t="s">
        <v>91</v>
      </c>
      <c r="L538" s="742"/>
      <c r="M538" s="743"/>
      <c r="N538" s="744">
        <f>IF(I544=0,0,VLOOKUP(I544,C551:O610,5))</f>
        <v>171032.30566778989</v>
      </c>
      <c r="O538" s="314"/>
    </row>
    <row r="539" spans="1:16" ht="15.75">
      <c r="C539" s="660"/>
      <c r="D539" s="539"/>
      <c r="E539" s="314"/>
      <c r="F539" s="314"/>
      <c r="G539" s="314"/>
      <c r="H539" s="745"/>
      <c r="I539" s="745"/>
      <c r="J539" s="746"/>
      <c r="K539" s="747" t="s">
        <v>92</v>
      </c>
      <c r="L539" s="748"/>
      <c r="M539" s="427"/>
      <c r="N539" s="749">
        <f>IF(I544=0,0,VLOOKUP(I544,C551:O610,6))</f>
        <v>171032.30566778989</v>
      </c>
      <c r="O539" s="314"/>
    </row>
    <row r="540" spans="1:16" ht="13.5" thickBot="1">
      <c r="C540" s="750" t="s">
        <v>88</v>
      </c>
      <c r="D540" s="1567" t="s">
        <v>816</v>
      </c>
      <c r="E540" s="1567"/>
      <c r="F540" s="1567"/>
      <c r="G540" s="1567"/>
      <c r="H540" s="1567"/>
      <c r="I540" s="1567"/>
      <c r="J540" s="731"/>
      <c r="K540" s="751" t="s">
        <v>230</v>
      </c>
      <c r="L540" s="752"/>
      <c r="M540" s="752"/>
      <c r="N540" s="753">
        <f>+N539-N538</f>
        <v>0</v>
      </c>
      <c r="O540" s="314"/>
    </row>
    <row r="541" spans="1:16">
      <c r="C541" s="754"/>
      <c r="D541" s="755"/>
      <c r="E541" s="735"/>
      <c r="F541" s="735"/>
      <c r="G541" s="756"/>
      <c r="H541" s="709"/>
      <c r="I541" s="709"/>
      <c r="J541" s="731"/>
      <c r="K541" s="709"/>
      <c r="L541" s="709"/>
      <c r="M541" s="709"/>
      <c r="N541" s="709"/>
      <c r="O541" s="314"/>
    </row>
    <row r="542" spans="1:16" ht="13.5" thickBot="1">
      <c r="C542" s="757"/>
      <c r="D542" s="758"/>
      <c r="E542" s="756"/>
      <c r="F542" s="756"/>
      <c r="G542" s="756"/>
      <c r="H542" s="756"/>
      <c r="I542" s="756"/>
      <c r="J542" s="759"/>
      <c r="K542" s="756"/>
      <c r="L542" s="756"/>
      <c r="M542" s="756"/>
      <c r="N542" s="756"/>
      <c r="O542" s="348"/>
    </row>
    <row r="543" spans="1:16" ht="13.5" thickBot="1">
      <c r="C543" s="760" t="s">
        <v>89</v>
      </c>
      <c r="D543" s="761"/>
      <c r="E543" s="761"/>
      <c r="F543" s="761"/>
      <c r="G543" s="761"/>
      <c r="H543" s="761"/>
      <c r="I543" s="762"/>
      <c r="J543" s="763"/>
      <c r="K543" s="314"/>
      <c r="L543" s="314"/>
      <c r="M543" s="314"/>
      <c r="N543" s="314"/>
      <c r="O543" s="764"/>
    </row>
    <row r="544" spans="1:16" ht="15">
      <c r="C544" s="765" t="s">
        <v>67</v>
      </c>
      <c r="D544" s="809">
        <v>1465792</v>
      </c>
      <c r="E544" s="726" t="s">
        <v>68</v>
      </c>
      <c r="G544" s="766"/>
      <c r="H544" s="766"/>
      <c r="I544" s="767">
        <f>$L$26</f>
        <v>2022</v>
      </c>
      <c r="J544" s="555"/>
      <c r="K544" s="1569" t="s">
        <v>239</v>
      </c>
      <c r="L544" s="1569"/>
      <c r="M544" s="1569"/>
      <c r="N544" s="1569"/>
      <c r="O544" s="1569"/>
    </row>
    <row r="545" spans="2:15">
      <c r="C545" s="765" t="s">
        <v>70</v>
      </c>
      <c r="D545" s="810">
        <v>2015</v>
      </c>
      <c r="E545" s="765" t="s">
        <v>71</v>
      </c>
      <c r="F545" s="766"/>
      <c r="H545" s="173"/>
      <c r="I545" s="811">
        <f>IF(G538="",0,$F$17)</f>
        <v>0</v>
      </c>
      <c r="J545" s="768"/>
      <c r="K545" s="731" t="s">
        <v>239</v>
      </c>
    </row>
    <row r="546" spans="2:15">
      <c r="C546" s="765" t="s">
        <v>72</v>
      </c>
      <c r="D546" s="809">
        <v>6</v>
      </c>
      <c r="E546" s="765" t="s">
        <v>73</v>
      </c>
      <c r="F546" s="766"/>
      <c r="H546" s="173"/>
      <c r="I546" s="769">
        <f>$G$70</f>
        <v>0.11129362813814259</v>
      </c>
      <c r="J546" s="770"/>
      <c r="K546" s="173" t="str">
        <f>"          INPUT PROJECTED ARR (WITH &amp; WITHOUT INCENTIVES) FROM EACH PRIOR YEAR"</f>
        <v xml:space="preserve">          INPUT PROJECTED ARR (WITH &amp; WITHOUT INCENTIVES) FROM EACH PRIOR YEAR</v>
      </c>
    </row>
    <row r="547" spans="2:15">
      <c r="C547" s="765" t="s">
        <v>74</v>
      </c>
      <c r="D547" s="771">
        <f>$G$79</f>
        <v>41</v>
      </c>
      <c r="E547" s="765" t="s">
        <v>75</v>
      </c>
      <c r="F547" s="766"/>
      <c r="H547" s="173"/>
      <c r="I547" s="769">
        <f>IF(G538="",I546,$G$69)</f>
        <v>0.11129362813814259</v>
      </c>
      <c r="J547" s="772"/>
      <c r="K547" s="173" t="s">
        <v>152</v>
      </c>
    </row>
    <row r="548" spans="2:15" ht="13.5" thickBot="1">
      <c r="C548" s="765" t="s">
        <v>76</v>
      </c>
      <c r="D548" s="808" t="s">
        <v>811</v>
      </c>
      <c r="E548" s="773" t="s">
        <v>77</v>
      </c>
      <c r="F548" s="774"/>
      <c r="G548" s="775"/>
      <c r="H548" s="775"/>
      <c r="I548" s="753">
        <f>IF(D544=0,0,D544/D547)</f>
        <v>35751.024390243903</v>
      </c>
      <c r="J548" s="731"/>
      <c r="K548" s="731" t="s">
        <v>158</v>
      </c>
      <c r="L548" s="731"/>
      <c r="M548" s="731"/>
      <c r="N548" s="731"/>
      <c r="O548" s="427"/>
    </row>
    <row r="549" spans="2:15" ht="38.25">
      <c r="B549" s="846"/>
      <c r="C549" s="776" t="s">
        <v>67</v>
      </c>
      <c r="D549" s="777" t="s">
        <v>78</v>
      </c>
      <c r="E549" s="778" t="s">
        <v>79</v>
      </c>
      <c r="F549" s="777" t="s">
        <v>80</v>
      </c>
      <c r="G549" s="778" t="s">
        <v>151</v>
      </c>
      <c r="H549" s="779" t="s">
        <v>151</v>
      </c>
      <c r="I549" s="776" t="s">
        <v>90</v>
      </c>
      <c r="J549" s="780"/>
      <c r="K549" s="778" t="s">
        <v>160</v>
      </c>
      <c r="L549" s="781"/>
      <c r="M549" s="778" t="s">
        <v>160</v>
      </c>
      <c r="N549" s="781"/>
      <c r="O549" s="781"/>
    </row>
    <row r="550" spans="2:15" ht="13.5" thickBot="1">
      <c r="C550" s="782" t="s">
        <v>469</v>
      </c>
      <c r="D550" s="783" t="s">
        <v>470</v>
      </c>
      <c r="E550" s="782" t="s">
        <v>363</v>
      </c>
      <c r="F550" s="783" t="s">
        <v>470</v>
      </c>
      <c r="G550" s="784" t="s">
        <v>93</v>
      </c>
      <c r="H550" s="785" t="s">
        <v>95</v>
      </c>
      <c r="I550" s="786" t="s">
        <v>15</v>
      </c>
      <c r="J550" s="787"/>
      <c r="K550" s="784" t="s">
        <v>82</v>
      </c>
      <c r="L550" s="788"/>
      <c r="M550" s="784" t="s">
        <v>95</v>
      </c>
      <c r="N550" s="788"/>
      <c r="O550" s="788"/>
    </row>
    <row r="551" spans="2:15">
      <c r="C551" s="789">
        <f>IF(D545= "","-",D545)</f>
        <v>2015</v>
      </c>
      <c r="D551" s="737">
        <f>+D544</f>
        <v>1465792</v>
      </c>
      <c r="E551" s="790">
        <f>+I548/12*(12-D546)</f>
        <v>17875.512195121952</v>
      </c>
      <c r="F551" s="737">
        <f>+D551-E551</f>
        <v>1447916.487804878</v>
      </c>
      <c r="G551" s="1001">
        <f>+$I$96*((D551+F551)/2)+E551</f>
        <v>180014.1066674749</v>
      </c>
      <c r="H551" s="1002">
        <f>$I$97*((D551+F551)/2)+E551</f>
        <v>180014.1066674749</v>
      </c>
      <c r="I551" s="793">
        <f>+H551-G551</f>
        <v>0</v>
      </c>
      <c r="J551" s="793"/>
      <c r="K551" s="812">
        <v>231097</v>
      </c>
      <c r="L551" s="794"/>
      <c r="M551" s="812">
        <v>231097</v>
      </c>
      <c r="N551" s="794"/>
      <c r="O551" s="794"/>
    </row>
    <row r="552" spans="2:15">
      <c r="C552" s="789">
        <f>IF(D545="","-",+C551+1)</f>
        <v>2016</v>
      </c>
      <c r="D552" s="737">
        <f t="shared" ref="D552:D610" si="30">F551</f>
        <v>1447916.487804878</v>
      </c>
      <c r="E552" s="790">
        <f>IF(D552&gt;$I$548,$I$548,D552)</f>
        <v>35751.024390243903</v>
      </c>
      <c r="F552" s="737">
        <f t="shared" ref="F552:F610" si="31">+D552-E552</f>
        <v>1412165.4634146341</v>
      </c>
      <c r="G552" s="795">
        <f t="shared" ref="G552:G610" si="32">+$I$96*((D552+F552)/2)+E552</f>
        <v>194905.47295206273</v>
      </c>
      <c r="H552" s="796">
        <f t="shared" ref="H552:H610" si="33">$I$97*((D552+F552)/2)+E552</f>
        <v>194905.47295206273</v>
      </c>
      <c r="I552" s="793">
        <f t="shared" ref="I552:I610" si="34">+H552-G552</f>
        <v>0</v>
      </c>
      <c r="J552" s="793"/>
      <c r="K552" s="813">
        <v>145269</v>
      </c>
      <c r="L552" s="797"/>
      <c r="M552" s="813">
        <v>145269</v>
      </c>
      <c r="N552" s="797"/>
      <c r="O552" s="797"/>
    </row>
    <row r="553" spans="2:15">
      <c r="C553" s="789">
        <f>IF(D545="","-",+C552+1)</f>
        <v>2017</v>
      </c>
      <c r="D553" s="737">
        <f t="shared" si="30"/>
        <v>1412165.4634146341</v>
      </c>
      <c r="E553" s="790">
        <f t="shared" ref="E553:E610" si="35">IF(D553&gt;$I$548,$I$548,D553)</f>
        <v>35751.024390243903</v>
      </c>
      <c r="F553" s="737">
        <f t="shared" si="31"/>
        <v>1376414.4390243902</v>
      </c>
      <c r="G553" s="795">
        <f t="shared" si="32"/>
        <v>190926.61173801724</v>
      </c>
      <c r="H553" s="796">
        <f t="shared" si="33"/>
        <v>190926.61173801724</v>
      </c>
      <c r="I553" s="793">
        <f t="shared" si="34"/>
        <v>0</v>
      </c>
      <c r="J553" s="793"/>
      <c r="K553" s="813">
        <v>174707</v>
      </c>
      <c r="L553" s="797"/>
      <c r="M553" s="813">
        <v>174707</v>
      </c>
      <c r="N553" s="797"/>
      <c r="O553" s="797"/>
    </row>
    <row r="554" spans="2:15">
      <c r="C554" s="1311">
        <f>IF(D545="","-",+C553+1)</f>
        <v>2018</v>
      </c>
      <c r="D554" s="737">
        <f t="shared" si="30"/>
        <v>1376414.4390243902</v>
      </c>
      <c r="E554" s="790">
        <f t="shared" si="35"/>
        <v>35751.024390243903</v>
      </c>
      <c r="F554" s="737">
        <f t="shared" si="31"/>
        <v>1340663.4146341463</v>
      </c>
      <c r="G554" s="795">
        <f t="shared" si="32"/>
        <v>186947.75052397177</v>
      </c>
      <c r="H554" s="796">
        <f t="shared" si="33"/>
        <v>186947.75052397177</v>
      </c>
      <c r="I554" s="793">
        <f t="shared" si="34"/>
        <v>0</v>
      </c>
      <c r="J554" s="793"/>
      <c r="K554" s="813">
        <v>159518</v>
      </c>
      <c r="L554" s="797"/>
      <c r="M554" s="813">
        <v>159518</v>
      </c>
      <c r="N554" s="797"/>
      <c r="O554" s="797"/>
    </row>
    <row r="555" spans="2:15">
      <c r="C555" s="1307">
        <f>IF(D545="","-",+C554+1)</f>
        <v>2019</v>
      </c>
      <c r="D555" s="737">
        <f t="shared" si="30"/>
        <v>1340663.4146341463</v>
      </c>
      <c r="E555" s="790">
        <f t="shared" si="35"/>
        <v>35751.024390243903</v>
      </c>
      <c r="F555" s="737">
        <f t="shared" si="31"/>
        <v>1304912.3902439023</v>
      </c>
      <c r="G555" s="795">
        <f t="shared" si="32"/>
        <v>182968.88930992631</v>
      </c>
      <c r="H555" s="796">
        <f t="shared" si="33"/>
        <v>182968.88930992631</v>
      </c>
      <c r="I555" s="793">
        <f t="shared" si="34"/>
        <v>0</v>
      </c>
      <c r="J555" s="793"/>
      <c r="K555" s="813"/>
      <c r="L555" s="797"/>
      <c r="M555" s="813"/>
      <c r="N555" s="797"/>
      <c r="O555" s="797"/>
    </row>
    <row r="556" spans="2:15">
      <c r="C556" s="789">
        <f>IF(D545="","-",+C555+1)</f>
        <v>2020</v>
      </c>
      <c r="D556" s="737">
        <f t="shared" si="30"/>
        <v>1304912.3902439023</v>
      </c>
      <c r="E556" s="790">
        <f t="shared" si="35"/>
        <v>35751.024390243903</v>
      </c>
      <c r="F556" s="737">
        <f t="shared" si="31"/>
        <v>1269161.3658536584</v>
      </c>
      <c r="G556" s="795">
        <f t="shared" si="32"/>
        <v>178990.02809588081</v>
      </c>
      <c r="H556" s="796">
        <f t="shared" si="33"/>
        <v>178990.02809588081</v>
      </c>
      <c r="I556" s="793">
        <f t="shared" si="34"/>
        <v>0</v>
      </c>
      <c r="J556" s="793"/>
      <c r="K556" s="813"/>
      <c r="L556" s="797"/>
      <c r="M556" s="813"/>
      <c r="N556" s="797"/>
      <c r="O556" s="797"/>
    </row>
    <row r="557" spans="2:15">
      <c r="C557" s="789">
        <f>IF(D545="","-",+C556+1)</f>
        <v>2021</v>
      </c>
      <c r="D557" s="737">
        <f t="shared" si="30"/>
        <v>1269161.3658536584</v>
      </c>
      <c r="E557" s="790">
        <f t="shared" si="35"/>
        <v>35751.024390243903</v>
      </c>
      <c r="F557" s="737">
        <f t="shared" si="31"/>
        <v>1233410.3414634145</v>
      </c>
      <c r="G557" s="795">
        <f t="shared" si="32"/>
        <v>175011.16688183535</v>
      </c>
      <c r="H557" s="796">
        <f t="shared" si="33"/>
        <v>175011.16688183535</v>
      </c>
      <c r="I557" s="793">
        <f t="shared" si="34"/>
        <v>0</v>
      </c>
      <c r="J557" s="793"/>
      <c r="K557" s="813"/>
      <c r="L557" s="797"/>
      <c r="M557" s="813"/>
      <c r="N557" s="797"/>
      <c r="O557" s="797"/>
    </row>
    <row r="558" spans="2:15">
      <c r="C558" s="789">
        <f>IF(D545="","-",+C557+1)</f>
        <v>2022</v>
      </c>
      <c r="D558" s="737">
        <f t="shared" si="30"/>
        <v>1233410.3414634145</v>
      </c>
      <c r="E558" s="790">
        <f t="shared" si="35"/>
        <v>35751.024390243903</v>
      </c>
      <c r="F558" s="737">
        <f t="shared" si="31"/>
        <v>1197659.3170731706</v>
      </c>
      <c r="G558" s="795">
        <f t="shared" si="32"/>
        <v>171032.30566778989</v>
      </c>
      <c r="H558" s="796">
        <f t="shared" si="33"/>
        <v>171032.30566778989</v>
      </c>
      <c r="I558" s="793">
        <f t="shared" si="34"/>
        <v>0</v>
      </c>
      <c r="J558" s="793"/>
      <c r="K558" s="813"/>
      <c r="L558" s="797"/>
      <c r="M558" s="813"/>
      <c r="N558" s="797"/>
      <c r="O558" s="797"/>
    </row>
    <row r="559" spans="2:15">
      <c r="C559" s="789">
        <f>IF(D545="","-",+C558+1)</f>
        <v>2023</v>
      </c>
      <c r="D559" s="737">
        <f t="shared" si="30"/>
        <v>1197659.3170731706</v>
      </c>
      <c r="E559" s="790">
        <f t="shared" si="35"/>
        <v>35751.024390243903</v>
      </c>
      <c r="F559" s="737">
        <f t="shared" si="31"/>
        <v>1161908.2926829266</v>
      </c>
      <c r="G559" s="795">
        <f t="shared" si="32"/>
        <v>167053.44445374442</v>
      </c>
      <c r="H559" s="796">
        <f t="shared" si="33"/>
        <v>167053.44445374442</v>
      </c>
      <c r="I559" s="793">
        <f t="shared" si="34"/>
        <v>0</v>
      </c>
      <c r="J559" s="793"/>
      <c r="K559" s="813"/>
      <c r="L559" s="797"/>
      <c r="M559" s="813"/>
      <c r="N559" s="797"/>
      <c r="O559" s="797"/>
    </row>
    <row r="560" spans="2:15">
      <c r="C560" s="789">
        <f>IF(D545="","-",+C559+1)</f>
        <v>2024</v>
      </c>
      <c r="D560" s="737">
        <f t="shared" si="30"/>
        <v>1161908.2926829266</v>
      </c>
      <c r="E560" s="790">
        <f t="shared" si="35"/>
        <v>35751.024390243903</v>
      </c>
      <c r="F560" s="737">
        <f t="shared" si="31"/>
        <v>1126157.2682926827</v>
      </c>
      <c r="G560" s="795">
        <f t="shared" si="32"/>
        <v>163074.58323969893</v>
      </c>
      <c r="H560" s="796">
        <f t="shared" si="33"/>
        <v>163074.58323969893</v>
      </c>
      <c r="I560" s="793">
        <f t="shared" si="34"/>
        <v>0</v>
      </c>
      <c r="J560" s="793"/>
      <c r="K560" s="813"/>
      <c r="L560" s="797"/>
      <c r="M560" s="813"/>
      <c r="N560" s="797"/>
      <c r="O560" s="797"/>
    </row>
    <row r="561" spans="3:15">
      <c r="C561" s="789">
        <f>IF(D545="","-",+C560+1)</f>
        <v>2025</v>
      </c>
      <c r="D561" s="737">
        <f t="shared" si="30"/>
        <v>1126157.2682926827</v>
      </c>
      <c r="E561" s="790">
        <f t="shared" si="35"/>
        <v>35751.024390243903</v>
      </c>
      <c r="F561" s="737">
        <f t="shared" si="31"/>
        <v>1090406.2439024388</v>
      </c>
      <c r="G561" s="795">
        <f t="shared" si="32"/>
        <v>159095.72202565346</v>
      </c>
      <c r="H561" s="796">
        <f t="shared" si="33"/>
        <v>159095.72202565346</v>
      </c>
      <c r="I561" s="793">
        <f t="shared" si="34"/>
        <v>0</v>
      </c>
      <c r="J561" s="793"/>
      <c r="K561" s="813"/>
      <c r="L561" s="797"/>
      <c r="M561" s="813"/>
      <c r="N561" s="797"/>
      <c r="O561" s="797"/>
    </row>
    <row r="562" spans="3:15">
      <c r="C562" s="789">
        <f>IF(D545="","-",+C561+1)</f>
        <v>2026</v>
      </c>
      <c r="D562" s="737">
        <f t="shared" si="30"/>
        <v>1090406.2439024388</v>
      </c>
      <c r="E562" s="790">
        <f t="shared" si="35"/>
        <v>35751.024390243903</v>
      </c>
      <c r="F562" s="737">
        <f t="shared" si="31"/>
        <v>1054655.2195121949</v>
      </c>
      <c r="G562" s="795">
        <f t="shared" si="32"/>
        <v>155116.860811608</v>
      </c>
      <c r="H562" s="796">
        <f t="shared" si="33"/>
        <v>155116.860811608</v>
      </c>
      <c r="I562" s="793">
        <f t="shared" si="34"/>
        <v>0</v>
      </c>
      <c r="J562" s="793"/>
      <c r="K562" s="813"/>
      <c r="L562" s="797"/>
      <c r="M562" s="813"/>
      <c r="N562" s="797"/>
      <c r="O562" s="797"/>
    </row>
    <row r="563" spans="3:15">
      <c r="C563" s="789">
        <f>IF(D545="","-",+C562+1)</f>
        <v>2027</v>
      </c>
      <c r="D563" s="737">
        <f t="shared" si="30"/>
        <v>1054655.2195121949</v>
      </c>
      <c r="E563" s="790">
        <f t="shared" si="35"/>
        <v>35751.024390243903</v>
      </c>
      <c r="F563" s="737">
        <f t="shared" si="31"/>
        <v>1018904.1951219509</v>
      </c>
      <c r="G563" s="795">
        <f t="shared" si="32"/>
        <v>151137.99959756254</v>
      </c>
      <c r="H563" s="796">
        <f t="shared" si="33"/>
        <v>151137.99959756254</v>
      </c>
      <c r="I563" s="793">
        <f t="shared" si="34"/>
        <v>0</v>
      </c>
      <c r="J563" s="793"/>
      <c r="K563" s="813"/>
      <c r="L563" s="797"/>
      <c r="M563" s="813"/>
      <c r="N563" s="798"/>
      <c r="O563" s="797"/>
    </row>
    <row r="564" spans="3:15">
      <c r="C564" s="789">
        <f>IF(D545="","-",+C563+1)</f>
        <v>2028</v>
      </c>
      <c r="D564" s="737">
        <f t="shared" si="30"/>
        <v>1018904.1951219509</v>
      </c>
      <c r="E564" s="790">
        <f t="shared" si="35"/>
        <v>35751.024390243903</v>
      </c>
      <c r="F564" s="737">
        <f t="shared" si="31"/>
        <v>983153.17073170701</v>
      </c>
      <c r="G564" s="795">
        <f t="shared" si="32"/>
        <v>147159.13838351704</v>
      </c>
      <c r="H564" s="796">
        <f t="shared" si="33"/>
        <v>147159.13838351704</v>
      </c>
      <c r="I564" s="793">
        <f t="shared" si="34"/>
        <v>0</v>
      </c>
      <c r="J564" s="793"/>
      <c r="K564" s="813"/>
      <c r="L564" s="797"/>
      <c r="M564" s="813"/>
      <c r="N564" s="797"/>
      <c r="O564" s="797"/>
    </row>
    <row r="565" spans="3:15">
      <c r="C565" s="789">
        <f>IF(D545="","-",+C564+1)</f>
        <v>2029</v>
      </c>
      <c r="D565" s="737">
        <f t="shared" si="30"/>
        <v>983153.17073170701</v>
      </c>
      <c r="E565" s="790">
        <f t="shared" si="35"/>
        <v>35751.024390243903</v>
      </c>
      <c r="F565" s="737">
        <f t="shared" si="31"/>
        <v>947402.14634146309</v>
      </c>
      <c r="G565" s="795">
        <f t="shared" si="32"/>
        <v>143180.27716947158</v>
      </c>
      <c r="H565" s="796">
        <f t="shared" si="33"/>
        <v>143180.27716947158</v>
      </c>
      <c r="I565" s="793">
        <f t="shared" si="34"/>
        <v>0</v>
      </c>
      <c r="J565" s="793"/>
      <c r="K565" s="813"/>
      <c r="L565" s="797"/>
      <c r="M565" s="813"/>
      <c r="N565" s="797"/>
      <c r="O565" s="797"/>
    </row>
    <row r="566" spans="3:15">
      <c r="C566" s="789">
        <f>IF(D545="","-",+C565+1)</f>
        <v>2030</v>
      </c>
      <c r="D566" s="737">
        <f t="shared" si="30"/>
        <v>947402.14634146309</v>
      </c>
      <c r="E566" s="790">
        <f t="shared" si="35"/>
        <v>35751.024390243903</v>
      </c>
      <c r="F566" s="737">
        <f t="shared" si="31"/>
        <v>911651.12195121916</v>
      </c>
      <c r="G566" s="795">
        <f t="shared" si="32"/>
        <v>139201.41595542611</v>
      </c>
      <c r="H566" s="796">
        <f t="shared" si="33"/>
        <v>139201.41595542611</v>
      </c>
      <c r="I566" s="793">
        <f t="shared" si="34"/>
        <v>0</v>
      </c>
      <c r="J566" s="793"/>
      <c r="K566" s="813"/>
      <c r="L566" s="797"/>
      <c r="M566" s="813"/>
      <c r="N566" s="797"/>
      <c r="O566" s="797"/>
    </row>
    <row r="567" spans="3:15">
      <c r="C567" s="789">
        <f>IF(D545="","-",+C566+1)</f>
        <v>2031</v>
      </c>
      <c r="D567" s="737">
        <f t="shared" si="30"/>
        <v>911651.12195121916</v>
      </c>
      <c r="E567" s="790">
        <f t="shared" si="35"/>
        <v>35751.024390243903</v>
      </c>
      <c r="F567" s="737">
        <f t="shared" si="31"/>
        <v>875900.09756097523</v>
      </c>
      <c r="G567" s="795">
        <f t="shared" si="32"/>
        <v>135222.55474138062</v>
      </c>
      <c r="H567" s="796">
        <f t="shared" si="33"/>
        <v>135222.55474138062</v>
      </c>
      <c r="I567" s="793">
        <f t="shared" si="34"/>
        <v>0</v>
      </c>
      <c r="J567" s="793"/>
      <c r="K567" s="813"/>
      <c r="L567" s="797"/>
      <c r="M567" s="813"/>
      <c r="N567" s="797"/>
      <c r="O567" s="797"/>
    </row>
    <row r="568" spans="3:15">
      <c r="C568" s="789">
        <f>IF(D545="","-",+C567+1)</f>
        <v>2032</v>
      </c>
      <c r="D568" s="737">
        <f t="shared" si="30"/>
        <v>875900.09756097523</v>
      </c>
      <c r="E568" s="790">
        <f t="shared" si="35"/>
        <v>35751.024390243903</v>
      </c>
      <c r="F568" s="737">
        <f t="shared" si="31"/>
        <v>840149.07317073131</v>
      </c>
      <c r="G568" s="795">
        <f t="shared" si="32"/>
        <v>131243.69352733516</v>
      </c>
      <c r="H568" s="796">
        <f t="shared" si="33"/>
        <v>131243.69352733516</v>
      </c>
      <c r="I568" s="793">
        <f t="shared" si="34"/>
        <v>0</v>
      </c>
      <c r="J568" s="793"/>
      <c r="K568" s="813"/>
      <c r="L568" s="797"/>
      <c r="M568" s="813"/>
      <c r="N568" s="797"/>
      <c r="O568" s="797"/>
    </row>
    <row r="569" spans="3:15">
      <c r="C569" s="789">
        <f>IF(D545="","-",+C568+1)</f>
        <v>2033</v>
      </c>
      <c r="D569" s="737">
        <f t="shared" si="30"/>
        <v>840149.07317073131</v>
      </c>
      <c r="E569" s="790">
        <f t="shared" si="35"/>
        <v>35751.024390243903</v>
      </c>
      <c r="F569" s="737">
        <f t="shared" si="31"/>
        <v>804398.04878048738</v>
      </c>
      <c r="G569" s="795">
        <f t="shared" si="32"/>
        <v>127264.83231328969</v>
      </c>
      <c r="H569" s="796">
        <f t="shared" si="33"/>
        <v>127264.83231328969</v>
      </c>
      <c r="I569" s="793">
        <f t="shared" si="34"/>
        <v>0</v>
      </c>
      <c r="J569" s="793"/>
      <c r="K569" s="813"/>
      <c r="L569" s="797"/>
      <c r="M569" s="813"/>
      <c r="N569" s="797"/>
      <c r="O569" s="797"/>
    </row>
    <row r="570" spans="3:15">
      <c r="C570" s="789">
        <f>IF(D545="","-",+C569+1)</f>
        <v>2034</v>
      </c>
      <c r="D570" s="737">
        <f t="shared" si="30"/>
        <v>804398.04878048738</v>
      </c>
      <c r="E570" s="790">
        <f t="shared" si="35"/>
        <v>35751.024390243903</v>
      </c>
      <c r="F570" s="737">
        <f t="shared" si="31"/>
        <v>768647.02439024346</v>
      </c>
      <c r="G570" s="795">
        <f t="shared" si="32"/>
        <v>123285.9710992442</v>
      </c>
      <c r="H570" s="796">
        <f t="shared" si="33"/>
        <v>123285.9710992442</v>
      </c>
      <c r="I570" s="793">
        <f t="shared" si="34"/>
        <v>0</v>
      </c>
      <c r="J570" s="793"/>
      <c r="K570" s="813"/>
      <c r="L570" s="797"/>
      <c r="M570" s="813"/>
      <c r="N570" s="797"/>
      <c r="O570" s="797"/>
    </row>
    <row r="571" spans="3:15">
      <c r="C571" s="789">
        <f>IF(D545="","-",+C570+1)</f>
        <v>2035</v>
      </c>
      <c r="D571" s="737">
        <f t="shared" si="30"/>
        <v>768647.02439024346</v>
      </c>
      <c r="E571" s="790">
        <f t="shared" si="35"/>
        <v>35751.024390243903</v>
      </c>
      <c r="F571" s="737">
        <f t="shared" si="31"/>
        <v>732895.99999999953</v>
      </c>
      <c r="G571" s="795">
        <f t="shared" si="32"/>
        <v>119307.10988519873</v>
      </c>
      <c r="H571" s="796">
        <f t="shared" si="33"/>
        <v>119307.10988519873</v>
      </c>
      <c r="I571" s="793">
        <f t="shared" si="34"/>
        <v>0</v>
      </c>
      <c r="J571" s="793"/>
      <c r="K571" s="813"/>
      <c r="L571" s="797"/>
      <c r="M571" s="813"/>
      <c r="N571" s="797"/>
      <c r="O571" s="797"/>
    </row>
    <row r="572" spans="3:15">
      <c r="C572" s="789">
        <f>IF(D545="","-",+C571+1)</f>
        <v>2036</v>
      </c>
      <c r="D572" s="737">
        <f t="shared" si="30"/>
        <v>732895.99999999953</v>
      </c>
      <c r="E572" s="790">
        <f t="shared" si="35"/>
        <v>35751.024390243903</v>
      </c>
      <c r="F572" s="737">
        <f t="shared" si="31"/>
        <v>697144.97560975561</v>
      </c>
      <c r="G572" s="795">
        <f t="shared" si="32"/>
        <v>115328.24867115327</v>
      </c>
      <c r="H572" s="796">
        <f t="shared" si="33"/>
        <v>115328.24867115327</v>
      </c>
      <c r="I572" s="793">
        <f t="shared" si="34"/>
        <v>0</v>
      </c>
      <c r="J572" s="793"/>
      <c r="K572" s="813"/>
      <c r="L572" s="797"/>
      <c r="M572" s="813"/>
      <c r="N572" s="797"/>
      <c r="O572" s="797"/>
    </row>
    <row r="573" spans="3:15">
      <c r="C573" s="789">
        <f>IF(D545="","-",+C572+1)</f>
        <v>2037</v>
      </c>
      <c r="D573" s="737">
        <f t="shared" si="30"/>
        <v>697144.97560975561</v>
      </c>
      <c r="E573" s="790">
        <f t="shared" si="35"/>
        <v>35751.024390243903</v>
      </c>
      <c r="F573" s="737">
        <f t="shared" si="31"/>
        <v>661393.95121951168</v>
      </c>
      <c r="G573" s="795">
        <f t="shared" si="32"/>
        <v>111349.3874571078</v>
      </c>
      <c r="H573" s="796">
        <f t="shared" si="33"/>
        <v>111349.3874571078</v>
      </c>
      <c r="I573" s="793">
        <f t="shared" si="34"/>
        <v>0</v>
      </c>
      <c r="J573" s="793"/>
      <c r="K573" s="813"/>
      <c r="L573" s="797"/>
      <c r="M573" s="813"/>
      <c r="N573" s="797"/>
      <c r="O573" s="797"/>
    </row>
    <row r="574" spans="3:15">
      <c r="C574" s="789">
        <f>IF(D545="","-",+C573+1)</f>
        <v>2038</v>
      </c>
      <c r="D574" s="737">
        <f t="shared" si="30"/>
        <v>661393.95121951168</v>
      </c>
      <c r="E574" s="790">
        <f t="shared" si="35"/>
        <v>35751.024390243903</v>
      </c>
      <c r="F574" s="737">
        <f t="shared" si="31"/>
        <v>625642.92682926776</v>
      </c>
      <c r="G574" s="795">
        <f t="shared" si="32"/>
        <v>107370.52624306231</v>
      </c>
      <c r="H574" s="796">
        <f t="shared" si="33"/>
        <v>107370.52624306231</v>
      </c>
      <c r="I574" s="793">
        <f t="shared" si="34"/>
        <v>0</v>
      </c>
      <c r="J574" s="793"/>
      <c r="K574" s="813"/>
      <c r="L574" s="797"/>
      <c r="M574" s="813"/>
      <c r="N574" s="797"/>
      <c r="O574" s="797"/>
    </row>
    <row r="575" spans="3:15">
      <c r="C575" s="789">
        <f>IF(D545="","-",+C574+1)</f>
        <v>2039</v>
      </c>
      <c r="D575" s="737">
        <f t="shared" si="30"/>
        <v>625642.92682926776</v>
      </c>
      <c r="E575" s="790">
        <f t="shared" si="35"/>
        <v>35751.024390243903</v>
      </c>
      <c r="F575" s="737">
        <f t="shared" si="31"/>
        <v>589891.90243902383</v>
      </c>
      <c r="G575" s="795">
        <f t="shared" si="32"/>
        <v>103391.66502901685</v>
      </c>
      <c r="H575" s="796">
        <f t="shared" si="33"/>
        <v>103391.66502901685</v>
      </c>
      <c r="I575" s="793">
        <f t="shared" si="34"/>
        <v>0</v>
      </c>
      <c r="J575" s="793"/>
      <c r="K575" s="813"/>
      <c r="L575" s="797"/>
      <c r="M575" s="813"/>
      <c r="N575" s="797"/>
      <c r="O575" s="797"/>
    </row>
    <row r="576" spans="3:15">
      <c r="C576" s="789">
        <f>IF(D545="","-",+C575+1)</f>
        <v>2040</v>
      </c>
      <c r="D576" s="737">
        <f t="shared" si="30"/>
        <v>589891.90243902383</v>
      </c>
      <c r="E576" s="790">
        <f t="shared" si="35"/>
        <v>35751.024390243903</v>
      </c>
      <c r="F576" s="737">
        <f t="shared" si="31"/>
        <v>554140.87804877991</v>
      </c>
      <c r="G576" s="795">
        <f t="shared" si="32"/>
        <v>99412.803814971368</v>
      </c>
      <c r="H576" s="796">
        <f t="shared" si="33"/>
        <v>99412.803814971368</v>
      </c>
      <c r="I576" s="793">
        <f t="shared" si="34"/>
        <v>0</v>
      </c>
      <c r="J576" s="793"/>
      <c r="K576" s="813"/>
      <c r="L576" s="797"/>
      <c r="M576" s="813"/>
      <c r="N576" s="797"/>
      <c r="O576" s="797"/>
    </row>
    <row r="577" spans="3:15">
      <c r="C577" s="789">
        <f>IF(D545="","-",+C576+1)</f>
        <v>2041</v>
      </c>
      <c r="D577" s="737">
        <f t="shared" si="30"/>
        <v>554140.87804877991</v>
      </c>
      <c r="E577" s="790">
        <f t="shared" si="35"/>
        <v>35751.024390243903</v>
      </c>
      <c r="F577" s="737">
        <f t="shared" si="31"/>
        <v>518389.85365853598</v>
      </c>
      <c r="G577" s="795">
        <f t="shared" si="32"/>
        <v>95433.94260092589</v>
      </c>
      <c r="H577" s="796">
        <f t="shared" si="33"/>
        <v>95433.94260092589</v>
      </c>
      <c r="I577" s="793">
        <f t="shared" si="34"/>
        <v>0</v>
      </c>
      <c r="J577" s="793"/>
      <c r="K577" s="813"/>
      <c r="L577" s="797"/>
      <c r="M577" s="813"/>
      <c r="N577" s="797"/>
      <c r="O577" s="797"/>
    </row>
    <row r="578" spans="3:15">
      <c r="C578" s="789">
        <f>IF(D545="","-",+C577+1)</f>
        <v>2042</v>
      </c>
      <c r="D578" s="737">
        <f t="shared" si="30"/>
        <v>518389.85365853598</v>
      </c>
      <c r="E578" s="790">
        <f t="shared" si="35"/>
        <v>35751.024390243903</v>
      </c>
      <c r="F578" s="737">
        <f t="shared" si="31"/>
        <v>482638.82926829206</v>
      </c>
      <c r="G578" s="795">
        <f t="shared" si="32"/>
        <v>91455.081386880425</v>
      </c>
      <c r="H578" s="796">
        <f t="shared" si="33"/>
        <v>91455.081386880425</v>
      </c>
      <c r="I578" s="793">
        <f t="shared" si="34"/>
        <v>0</v>
      </c>
      <c r="J578" s="793"/>
      <c r="K578" s="813"/>
      <c r="L578" s="797"/>
      <c r="M578" s="813"/>
      <c r="N578" s="797"/>
      <c r="O578" s="797"/>
    </row>
    <row r="579" spans="3:15">
      <c r="C579" s="789">
        <f>IF(D545="","-",+C578+1)</f>
        <v>2043</v>
      </c>
      <c r="D579" s="737">
        <f t="shared" si="30"/>
        <v>482638.82926829206</v>
      </c>
      <c r="E579" s="790">
        <f t="shared" si="35"/>
        <v>35751.024390243903</v>
      </c>
      <c r="F579" s="737">
        <f t="shared" si="31"/>
        <v>446887.80487804813</v>
      </c>
      <c r="G579" s="791">
        <f t="shared" si="32"/>
        <v>87476.220172834961</v>
      </c>
      <c r="H579" s="796">
        <f t="shared" si="33"/>
        <v>87476.220172834961</v>
      </c>
      <c r="I579" s="793">
        <f t="shared" si="34"/>
        <v>0</v>
      </c>
      <c r="J579" s="793"/>
      <c r="K579" s="813"/>
      <c r="L579" s="797"/>
      <c r="M579" s="813"/>
      <c r="N579" s="797"/>
      <c r="O579" s="797"/>
    </row>
    <row r="580" spans="3:15">
      <c r="C580" s="789">
        <f>IF(D545="","-",+C579+1)</f>
        <v>2044</v>
      </c>
      <c r="D580" s="737">
        <f t="shared" si="30"/>
        <v>446887.80487804813</v>
      </c>
      <c r="E580" s="790">
        <f t="shared" si="35"/>
        <v>35751.024390243903</v>
      </c>
      <c r="F580" s="737">
        <f t="shared" si="31"/>
        <v>411136.78048780421</v>
      </c>
      <c r="G580" s="795">
        <f t="shared" si="32"/>
        <v>83497.358958789468</v>
      </c>
      <c r="H580" s="796">
        <f t="shared" si="33"/>
        <v>83497.358958789468</v>
      </c>
      <c r="I580" s="793">
        <f t="shared" si="34"/>
        <v>0</v>
      </c>
      <c r="J580" s="793"/>
      <c r="K580" s="813"/>
      <c r="L580" s="797"/>
      <c r="M580" s="813"/>
      <c r="N580" s="797"/>
      <c r="O580" s="797"/>
    </row>
    <row r="581" spans="3:15">
      <c r="C581" s="789">
        <f>IF(D545="","-",+C580+1)</f>
        <v>2045</v>
      </c>
      <c r="D581" s="737">
        <f t="shared" si="30"/>
        <v>411136.78048780421</v>
      </c>
      <c r="E581" s="790">
        <f t="shared" si="35"/>
        <v>35751.024390243903</v>
      </c>
      <c r="F581" s="737">
        <f t="shared" si="31"/>
        <v>375385.75609756028</v>
      </c>
      <c r="G581" s="795">
        <f t="shared" si="32"/>
        <v>79518.497744744003</v>
      </c>
      <c r="H581" s="796">
        <f t="shared" si="33"/>
        <v>79518.497744744003</v>
      </c>
      <c r="I581" s="793">
        <f t="shared" si="34"/>
        <v>0</v>
      </c>
      <c r="J581" s="793"/>
      <c r="K581" s="813"/>
      <c r="L581" s="797"/>
      <c r="M581" s="813"/>
      <c r="N581" s="797"/>
      <c r="O581" s="797"/>
    </row>
    <row r="582" spans="3:15">
      <c r="C582" s="789">
        <f>IF(D545="","-",+C581+1)</f>
        <v>2046</v>
      </c>
      <c r="D582" s="737">
        <f t="shared" si="30"/>
        <v>375385.75609756028</v>
      </c>
      <c r="E582" s="790">
        <f t="shared" si="35"/>
        <v>35751.024390243903</v>
      </c>
      <c r="F582" s="737">
        <f t="shared" si="31"/>
        <v>339634.73170731636</v>
      </c>
      <c r="G582" s="795">
        <f t="shared" si="32"/>
        <v>75539.636530698539</v>
      </c>
      <c r="H582" s="796">
        <f t="shared" si="33"/>
        <v>75539.636530698539</v>
      </c>
      <c r="I582" s="793">
        <f t="shared" si="34"/>
        <v>0</v>
      </c>
      <c r="J582" s="793"/>
      <c r="K582" s="813"/>
      <c r="L582" s="797"/>
      <c r="M582" s="813"/>
      <c r="N582" s="797"/>
      <c r="O582" s="797"/>
    </row>
    <row r="583" spans="3:15">
      <c r="C583" s="789">
        <f>IF(D545="","-",+C582+1)</f>
        <v>2047</v>
      </c>
      <c r="D583" s="737">
        <f t="shared" si="30"/>
        <v>339634.73170731636</v>
      </c>
      <c r="E583" s="790">
        <f t="shared" si="35"/>
        <v>35751.024390243903</v>
      </c>
      <c r="F583" s="737">
        <f t="shared" si="31"/>
        <v>303883.70731707243</v>
      </c>
      <c r="G583" s="795">
        <f t="shared" si="32"/>
        <v>71560.77531665306</v>
      </c>
      <c r="H583" s="796">
        <f t="shared" si="33"/>
        <v>71560.77531665306</v>
      </c>
      <c r="I583" s="793">
        <f t="shared" si="34"/>
        <v>0</v>
      </c>
      <c r="J583" s="793"/>
      <c r="K583" s="813"/>
      <c r="L583" s="797"/>
      <c r="M583" s="813"/>
      <c r="N583" s="797"/>
      <c r="O583" s="797"/>
    </row>
    <row r="584" spans="3:15">
      <c r="C584" s="789">
        <f>IF(D545="","-",+C583+1)</f>
        <v>2048</v>
      </c>
      <c r="D584" s="737">
        <f t="shared" si="30"/>
        <v>303883.70731707243</v>
      </c>
      <c r="E584" s="790">
        <f t="shared" si="35"/>
        <v>35751.024390243903</v>
      </c>
      <c r="F584" s="737">
        <f t="shared" si="31"/>
        <v>268132.68292682851</v>
      </c>
      <c r="G584" s="795">
        <f t="shared" si="32"/>
        <v>67581.914102607581</v>
      </c>
      <c r="H584" s="796">
        <f t="shared" si="33"/>
        <v>67581.914102607581</v>
      </c>
      <c r="I584" s="793">
        <f t="shared" si="34"/>
        <v>0</v>
      </c>
      <c r="J584" s="793"/>
      <c r="K584" s="813"/>
      <c r="L584" s="797"/>
      <c r="M584" s="813"/>
      <c r="N584" s="797"/>
      <c r="O584" s="797"/>
    </row>
    <row r="585" spans="3:15">
      <c r="C585" s="789">
        <f>IF(D545="","-",+C584+1)</f>
        <v>2049</v>
      </c>
      <c r="D585" s="737">
        <f t="shared" si="30"/>
        <v>268132.68292682851</v>
      </c>
      <c r="E585" s="790">
        <f t="shared" si="35"/>
        <v>35751.024390243903</v>
      </c>
      <c r="F585" s="737">
        <f t="shared" si="31"/>
        <v>232381.65853658461</v>
      </c>
      <c r="G585" s="795">
        <f t="shared" si="32"/>
        <v>63603.052888562117</v>
      </c>
      <c r="H585" s="796">
        <f t="shared" si="33"/>
        <v>63603.052888562117</v>
      </c>
      <c r="I585" s="793">
        <f t="shared" si="34"/>
        <v>0</v>
      </c>
      <c r="J585" s="793"/>
      <c r="K585" s="813"/>
      <c r="L585" s="797"/>
      <c r="M585" s="813"/>
      <c r="N585" s="797"/>
      <c r="O585" s="797"/>
    </row>
    <row r="586" spans="3:15">
      <c r="C586" s="789">
        <f>IF(D545="","-",+C585+1)</f>
        <v>2050</v>
      </c>
      <c r="D586" s="737">
        <f t="shared" si="30"/>
        <v>232381.65853658461</v>
      </c>
      <c r="E586" s="790">
        <f t="shared" si="35"/>
        <v>35751.024390243903</v>
      </c>
      <c r="F586" s="737">
        <f t="shared" si="31"/>
        <v>196630.63414634072</v>
      </c>
      <c r="G586" s="795">
        <f t="shared" si="32"/>
        <v>59624.191674516645</v>
      </c>
      <c r="H586" s="796">
        <f t="shared" si="33"/>
        <v>59624.191674516645</v>
      </c>
      <c r="I586" s="793">
        <f t="shared" si="34"/>
        <v>0</v>
      </c>
      <c r="J586" s="793"/>
      <c r="K586" s="813"/>
      <c r="L586" s="797"/>
      <c r="M586" s="813"/>
      <c r="N586" s="797"/>
      <c r="O586" s="797"/>
    </row>
    <row r="587" spans="3:15">
      <c r="C587" s="789">
        <f>IF(D545="","-",+C586+1)</f>
        <v>2051</v>
      </c>
      <c r="D587" s="737">
        <f t="shared" si="30"/>
        <v>196630.63414634072</v>
      </c>
      <c r="E587" s="790">
        <f t="shared" si="35"/>
        <v>35751.024390243903</v>
      </c>
      <c r="F587" s="737">
        <f t="shared" si="31"/>
        <v>160879.60975609682</v>
      </c>
      <c r="G587" s="795">
        <f t="shared" si="32"/>
        <v>55645.330460471174</v>
      </c>
      <c r="H587" s="796">
        <f t="shared" si="33"/>
        <v>55645.330460471174</v>
      </c>
      <c r="I587" s="793">
        <f t="shared" si="34"/>
        <v>0</v>
      </c>
      <c r="J587" s="793"/>
      <c r="K587" s="813"/>
      <c r="L587" s="797"/>
      <c r="M587" s="813"/>
      <c r="N587" s="797"/>
      <c r="O587" s="797"/>
    </row>
    <row r="588" spans="3:15">
      <c r="C588" s="789">
        <f>IF(D545="","-",+C587+1)</f>
        <v>2052</v>
      </c>
      <c r="D588" s="737">
        <f t="shared" si="30"/>
        <v>160879.60975609682</v>
      </c>
      <c r="E588" s="790">
        <f t="shared" si="35"/>
        <v>35751.024390243903</v>
      </c>
      <c r="F588" s="737">
        <f t="shared" si="31"/>
        <v>125128.58536585292</v>
      </c>
      <c r="G588" s="795">
        <f t="shared" si="32"/>
        <v>51666.46924642571</v>
      </c>
      <c r="H588" s="796">
        <f t="shared" si="33"/>
        <v>51666.46924642571</v>
      </c>
      <c r="I588" s="793">
        <f t="shared" si="34"/>
        <v>0</v>
      </c>
      <c r="J588" s="793"/>
      <c r="K588" s="813"/>
      <c r="L588" s="797"/>
      <c r="M588" s="813"/>
      <c r="N588" s="797"/>
      <c r="O588" s="797"/>
    </row>
    <row r="589" spans="3:15">
      <c r="C589" s="789">
        <f>IF(D545="","-",+C588+1)</f>
        <v>2053</v>
      </c>
      <c r="D589" s="737">
        <f t="shared" si="30"/>
        <v>125128.58536585292</v>
      </c>
      <c r="E589" s="790">
        <f t="shared" si="35"/>
        <v>35751.024390243903</v>
      </c>
      <c r="F589" s="737">
        <f t="shared" si="31"/>
        <v>89377.560975609027</v>
      </c>
      <c r="G589" s="795">
        <f t="shared" si="32"/>
        <v>47687.608032380231</v>
      </c>
      <c r="H589" s="796">
        <f t="shared" si="33"/>
        <v>47687.608032380231</v>
      </c>
      <c r="I589" s="793">
        <f t="shared" si="34"/>
        <v>0</v>
      </c>
      <c r="J589" s="793"/>
      <c r="K589" s="813"/>
      <c r="L589" s="797"/>
      <c r="M589" s="813"/>
      <c r="N589" s="797"/>
      <c r="O589" s="797"/>
    </row>
    <row r="590" spans="3:15">
      <c r="C590" s="789">
        <f>IF(D545="","-",+C589+1)</f>
        <v>2054</v>
      </c>
      <c r="D590" s="737">
        <f t="shared" si="30"/>
        <v>89377.560975609027</v>
      </c>
      <c r="E590" s="790">
        <f t="shared" si="35"/>
        <v>35751.024390243903</v>
      </c>
      <c r="F590" s="737">
        <f t="shared" si="31"/>
        <v>53626.536585365124</v>
      </c>
      <c r="G590" s="795">
        <f t="shared" si="32"/>
        <v>43708.746818334766</v>
      </c>
      <c r="H590" s="796">
        <f t="shared" si="33"/>
        <v>43708.746818334766</v>
      </c>
      <c r="I590" s="793">
        <f t="shared" si="34"/>
        <v>0</v>
      </c>
      <c r="J590" s="793"/>
      <c r="K590" s="813"/>
      <c r="L590" s="797"/>
      <c r="M590" s="813"/>
      <c r="N590" s="797"/>
      <c r="O590" s="797"/>
    </row>
    <row r="591" spans="3:15">
      <c r="C591" s="789">
        <f>IF(D545="","-",+C590+1)</f>
        <v>2055</v>
      </c>
      <c r="D591" s="737">
        <f t="shared" si="30"/>
        <v>53626.536585365124</v>
      </c>
      <c r="E591" s="790">
        <f t="shared" si="35"/>
        <v>35751.024390243903</v>
      </c>
      <c r="F591" s="737">
        <f t="shared" si="31"/>
        <v>17875.51219512122</v>
      </c>
      <c r="G591" s="795">
        <f t="shared" si="32"/>
        <v>39729.885604289295</v>
      </c>
      <c r="H591" s="796">
        <f t="shared" si="33"/>
        <v>39729.885604289295</v>
      </c>
      <c r="I591" s="793">
        <f t="shared" si="34"/>
        <v>0</v>
      </c>
      <c r="J591" s="793"/>
      <c r="K591" s="813"/>
      <c r="L591" s="797"/>
      <c r="M591" s="813"/>
      <c r="N591" s="797"/>
      <c r="O591" s="797"/>
    </row>
    <row r="592" spans="3:15">
      <c r="C592" s="789">
        <f>IF(D545="","-",+C591+1)</f>
        <v>2056</v>
      </c>
      <c r="D592" s="737">
        <f t="shared" si="30"/>
        <v>17875.51219512122</v>
      </c>
      <c r="E592" s="790">
        <f t="shared" si="35"/>
        <v>17875.51219512122</v>
      </c>
      <c r="F592" s="737">
        <f t="shared" si="31"/>
        <v>0</v>
      </c>
      <c r="G592" s="795">
        <f t="shared" si="32"/>
        <v>18870.227498632546</v>
      </c>
      <c r="H592" s="796">
        <f t="shared" si="33"/>
        <v>18870.227498632546</v>
      </c>
      <c r="I592" s="793">
        <f t="shared" si="34"/>
        <v>0</v>
      </c>
      <c r="J592" s="793"/>
      <c r="K592" s="813"/>
      <c r="L592" s="797"/>
      <c r="M592" s="813"/>
      <c r="N592" s="797"/>
      <c r="O592" s="797"/>
    </row>
    <row r="593" spans="3:15">
      <c r="C593" s="789">
        <f>IF(D545="","-",+C592+1)</f>
        <v>2057</v>
      </c>
      <c r="D593" s="737">
        <f t="shared" si="30"/>
        <v>0</v>
      </c>
      <c r="E593" s="790">
        <f t="shared" si="35"/>
        <v>0</v>
      </c>
      <c r="F593" s="737">
        <f t="shared" si="31"/>
        <v>0</v>
      </c>
      <c r="G593" s="795">
        <f t="shared" si="32"/>
        <v>0</v>
      </c>
      <c r="H593" s="796">
        <f t="shared" si="33"/>
        <v>0</v>
      </c>
      <c r="I593" s="793">
        <f t="shared" si="34"/>
        <v>0</v>
      </c>
      <c r="J593" s="793"/>
      <c r="K593" s="813"/>
      <c r="L593" s="797"/>
      <c r="M593" s="813"/>
      <c r="N593" s="797"/>
      <c r="O593" s="797"/>
    </row>
    <row r="594" spans="3:15">
      <c r="C594" s="789">
        <f>IF(D545="","-",+C593+1)</f>
        <v>2058</v>
      </c>
      <c r="D594" s="737">
        <f t="shared" si="30"/>
        <v>0</v>
      </c>
      <c r="E594" s="790">
        <f t="shared" si="35"/>
        <v>0</v>
      </c>
      <c r="F594" s="737">
        <f t="shared" si="31"/>
        <v>0</v>
      </c>
      <c r="G594" s="795">
        <f t="shared" si="32"/>
        <v>0</v>
      </c>
      <c r="H594" s="796">
        <f t="shared" si="33"/>
        <v>0</v>
      </c>
      <c r="I594" s="793">
        <f t="shared" si="34"/>
        <v>0</v>
      </c>
      <c r="J594" s="793"/>
      <c r="K594" s="813"/>
      <c r="L594" s="797"/>
      <c r="M594" s="813"/>
      <c r="N594" s="797"/>
      <c r="O594" s="797"/>
    </row>
    <row r="595" spans="3:15">
      <c r="C595" s="789">
        <f>IF(D545="","-",+C594+1)</f>
        <v>2059</v>
      </c>
      <c r="D595" s="737">
        <f t="shared" si="30"/>
        <v>0</v>
      </c>
      <c r="E595" s="790">
        <f t="shared" si="35"/>
        <v>0</v>
      </c>
      <c r="F595" s="737">
        <f t="shared" si="31"/>
        <v>0</v>
      </c>
      <c r="G595" s="795">
        <f t="shared" si="32"/>
        <v>0</v>
      </c>
      <c r="H595" s="796">
        <f t="shared" si="33"/>
        <v>0</v>
      </c>
      <c r="I595" s="793">
        <f t="shared" si="34"/>
        <v>0</v>
      </c>
      <c r="J595" s="793"/>
      <c r="K595" s="813"/>
      <c r="L595" s="797"/>
      <c r="M595" s="813"/>
      <c r="N595" s="797"/>
      <c r="O595" s="797"/>
    </row>
    <row r="596" spans="3:15">
      <c r="C596" s="789">
        <f>IF(D545="","-",+C595+1)</f>
        <v>2060</v>
      </c>
      <c r="D596" s="737">
        <f t="shared" si="30"/>
        <v>0</v>
      </c>
      <c r="E596" s="790">
        <f t="shared" si="35"/>
        <v>0</v>
      </c>
      <c r="F596" s="737">
        <f t="shared" si="31"/>
        <v>0</v>
      </c>
      <c r="G596" s="795">
        <f t="shared" si="32"/>
        <v>0</v>
      </c>
      <c r="H596" s="796">
        <f t="shared" si="33"/>
        <v>0</v>
      </c>
      <c r="I596" s="793">
        <f t="shared" si="34"/>
        <v>0</v>
      </c>
      <c r="J596" s="793"/>
      <c r="K596" s="813"/>
      <c r="L596" s="797"/>
      <c r="M596" s="813"/>
      <c r="N596" s="797"/>
      <c r="O596" s="797"/>
    </row>
    <row r="597" spans="3:15">
      <c r="C597" s="789">
        <f>IF(D545="","-",+C596+1)</f>
        <v>2061</v>
      </c>
      <c r="D597" s="737">
        <f t="shared" si="30"/>
        <v>0</v>
      </c>
      <c r="E597" s="790">
        <f t="shared" si="35"/>
        <v>0</v>
      </c>
      <c r="F597" s="737">
        <f t="shared" si="31"/>
        <v>0</v>
      </c>
      <c r="G597" s="795">
        <f t="shared" si="32"/>
        <v>0</v>
      </c>
      <c r="H597" s="796">
        <f t="shared" si="33"/>
        <v>0</v>
      </c>
      <c r="I597" s="793">
        <f t="shared" si="34"/>
        <v>0</v>
      </c>
      <c r="J597" s="793"/>
      <c r="K597" s="813"/>
      <c r="L597" s="797"/>
      <c r="M597" s="813"/>
      <c r="N597" s="797"/>
      <c r="O597" s="797"/>
    </row>
    <row r="598" spans="3:15">
      <c r="C598" s="789">
        <f>IF(D545="","-",+C597+1)</f>
        <v>2062</v>
      </c>
      <c r="D598" s="737">
        <f t="shared" si="30"/>
        <v>0</v>
      </c>
      <c r="E598" s="790">
        <f t="shared" si="35"/>
        <v>0</v>
      </c>
      <c r="F598" s="737">
        <f t="shared" si="31"/>
        <v>0</v>
      </c>
      <c r="G598" s="795">
        <f t="shared" si="32"/>
        <v>0</v>
      </c>
      <c r="H598" s="796">
        <f t="shared" si="33"/>
        <v>0</v>
      </c>
      <c r="I598" s="793">
        <f t="shared" si="34"/>
        <v>0</v>
      </c>
      <c r="J598" s="793"/>
      <c r="K598" s="813"/>
      <c r="L598" s="797"/>
      <c r="M598" s="813"/>
      <c r="N598" s="797"/>
      <c r="O598" s="797"/>
    </row>
    <row r="599" spans="3:15">
      <c r="C599" s="789">
        <f>IF(D545="","-",+C598+1)</f>
        <v>2063</v>
      </c>
      <c r="D599" s="737">
        <f t="shared" si="30"/>
        <v>0</v>
      </c>
      <c r="E599" s="790">
        <f t="shared" si="35"/>
        <v>0</v>
      </c>
      <c r="F599" s="737">
        <f t="shared" si="31"/>
        <v>0</v>
      </c>
      <c r="G599" s="795">
        <f t="shared" si="32"/>
        <v>0</v>
      </c>
      <c r="H599" s="796">
        <f t="shared" si="33"/>
        <v>0</v>
      </c>
      <c r="I599" s="793">
        <f t="shared" si="34"/>
        <v>0</v>
      </c>
      <c r="J599" s="793"/>
      <c r="K599" s="813"/>
      <c r="L599" s="797"/>
      <c r="M599" s="813"/>
      <c r="N599" s="797"/>
      <c r="O599" s="797"/>
    </row>
    <row r="600" spans="3:15">
      <c r="C600" s="789">
        <f>IF(D545="","-",+C599+1)</f>
        <v>2064</v>
      </c>
      <c r="D600" s="737">
        <f t="shared" si="30"/>
        <v>0</v>
      </c>
      <c r="E600" s="790">
        <f t="shared" si="35"/>
        <v>0</v>
      </c>
      <c r="F600" s="737">
        <f t="shared" si="31"/>
        <v>0</v>
      </c>
      <c r="G600" s="795">
        <f t="shared" si="32"/>
        <v>0</v>
      </c>
      <c r="H600" s="796">
        <f t="shared" si="33"/>
        <v>0</v>
      </c>
      <c r="I600" s="793">
        <f t="shared" si="34"/>
        <v>0</v>
      </c>
      <c r="J600" s="793"/>
      <c r="K600" s="813"/>
      <c r="L600" s="797"/>
      <c r="M600" s="813"/>
      <c r="N600" s="797"/>
      <c r="O600" s="797"/>
    </row>
    <row r="601" spans="3:15">
      <c r="C601" s="789">
        <f>IF(D545="","-",+C600+1)</f>
        <v>2065</v>
      </c>
      <c r="D601" s="737">
        <f t="shared" si="30"/>
        <v>0</v>
      </c>
      <c r="E601" s="790">
        <f t="shared" si="35"/>
        <v>0</v>
      </c>
      <c r="F601" s="737">
        <f t="shared" si="31"/>
        <v>0</v>
      </c>
      <c r="G601" s="795">
        <f t="shared" si="32"/>
        <v>0</v>
      </c>
      <c r="H601" s="796">
        <f t="shared" si="33"/>
        <v>0</v>
      </c>
      <c r="I601" s="793">
        <f t="shared" si="34"/>
        <v>0</v>
      </c>
      <c r="J601" s="793"/>
      <c r="K601" s="813"/>
      <c r="L601" s="797"/>
      <c r="M601" s="813"/>
      <c r="N601" s="797"/>
      <c r="O601" s="797"/>
    </row>
    <row r="602" spans="3:15">
      <c r="C602" s="789">
        <f>IF(D545="","-",+C601+1)</f>
        <v>2066</v>
      </c>
      <c r="D602" s="737">
        <f t="shared" si="30"/>
        <v>0</v>
      </c>
      <c r="E602" s="790">
        <f t="shared" si="35"/>
        <v>0</v>
      </c>
      <c r="F602" s="737">
        <f t="shared" si="31"/>
        <v>0</v>
      </c>
      <c r="G602" s="795">
        <f t="shared" si="32"/>
        <v>0</v>
      </c>
      <c r="H602" s="796">
        <f t="shared" si="33"/>
        <v>0</v>
      </c>
      <c r="I602" s="793">
        <f t="shared" si="34"/>
        <v>0</v>
      </c>
      <c r="J602" s="793"/>
      <c r="K602" s="813"/>
      <c r="L602" s="797"/>
      <c r="M602" s="813"/>
      <c r="N602" s="797"/>
      <c r="O602" s="797"/>
    </row>
    <row r="603" spans="3:15">
      <c r="C603" s="789">
        <f>IF(D545="","-",+C602+1)</f>
        <v>2067</v>
      </c>
      <c r="D603" s="737">
        <f t="shared" si="30"/>
        <v>0</v>
      </c>
      <c r="E603" s="790">
        <f t="shared" si="35"/>
        <v>0</v>
      </c>
      <c r="F603" s="737">
        <f t="shared" si="31"/>
        <v>0</v>
      </c>
      <c r="G603" s="795">
        <f t="shared" si="32"/>
        <v>0</v>
      </c>
      <c r="H603" s="796">
        <f t="shared" si="33"/>
        <v>0</v>
      </c>
      <c r="I603" s="793">
        <f t="shared" si="34"/>
        <v>0</v>
      </c>
      <c r="J603" s="793"/>
      <c r="K603" s="813"/>
      <c r="L603" s="797"/>
      <c r="M603" s="813"/>
      <c r="N603" s="797"/>
      <c r="O603" s="797"/>
    </row>
    <row r="604" spans="3:15">
      <c r="C604" s="789">
        <f>IF(D545="","-",+C603+1)</f>
        <v>2068</v>
      </c>
      <c r="D604" s="737">
        <f t="shared" si="30"/>
        <v>0</v>
      </c>
      <c r="E604" s="790">
        <f t="shared" si="35"/>
        <v>0</v>
      </c>
      <c r="F604" s="737">
        <f t="shared" si="31"/>
        <v>0</v>
      </c>
      <c r="G604" s="795">
        <f t="shared" si="32"/>
        <v>0</v>
      </c>
      <c r="H604" s="796">
        <f t="shared" si="33"/>
        <v>0</v>
      </c>
      <c r="I604" s="793">
        <f t="shared" si="34"/>
        <v>0</v>
      </c>
      <c r="J604" s="793"/>
      <c r="K604" s="813"/>
      <c r="L604" s="797"/>
      <c r="M604" s="813"/>
      <c r="N604" s="797"/>
      <c r="O604" s="797"/>
    </row>
    <row r="605" spans="3:15">
      <c r="C605" s="789">
        <f>IF(D545="","-",+C604+1)</f>
        <v>2069</v>
      </c>
      <c r="D605" s="737">
        <f t="shared" si="30"/>
        <v>0</v>
      </c>
      <c r="E605" s="790">
        <f t="shared" si="35"/>
        <v>0</v>
      </c>
      <c r="F605" s="737">
        <f t="shared" si="31"/>
        <v>0</v>
      </c>
      <c r="G605" s="795">
        <f t="shared" si="32"/>
        <v>0</v>
      </c>
      <c r="H605" s="796">
        <f t="shared" si="33"/>
        <v>0</v>
      </c>
      <c r="I605" s="793">
        <f t="shared" si="34"/>
        <v>0</v>
      </c>
      <c r="J605" s="793"/>
      <c r="K605" s="813"/>
      <c r="L605" s="797"/>
      <c r="M605" s="813"/>
      <c r="N605" s="797"/>
      <c r="O605" s="797"/>
    </row>
    <row r="606" spans="3:15">
      <c r="C606" s="789">
        <f>IF(D545="","-",+C605+1)</f>
        <v>2070</v>
      </c>
      <c r="D606" s="737">
        <f t="shared" si="30"/>
        <v>0</v>
      </c>
      <c r="E606" s="790">
        <f t="shared" si="35"/>
        <v>0</v>
      </c>
      <c r="F606" s="737">
        <f t="shared" si="31"/>
        <v>0</v>
      </c>
      <c r="G606" s="795">
        <f t="shared" si="32"/>
        <v>0</v>
      </c>
      <c r="H606" s="796">
        <f t="shared" si="33"/>
        <v>0</v>
      </c>
      <c r="I606" s="793">
        <f t="shared" si="34"/>
        <v>0</v>
      </c>
      <c r="J606" s="793"/>
      <c r="K606" s="813"/>
      <c r="L606" s="797"/>
      <c r="M606" s="813"/>
      <c r="N606" s="797"/>
      <c r="O606" s="797"/>
    </row>
    <row r="607" spans="3:15">
      <c r="C607" s="789">
        <f>IF(D545="","-",+C606+1)</f>
        <v>2071</v>
      </c>
      <c r="D607" s="737">
        <f t="shared" si="30"/>
        <v>0</v>
      </c>
      <c r="E607" s="790">
        <f t="shared" si="35"/>
        <v>0</v>
      </c>
      <c r="F607" s="737">
        <f t="shared" si="31"/>
        <v>0</v>
      </c>
      <c r="G607" s="795">
        <f t="shared" si="32"/>
        <v>0</v>
      </c>
      <c r="H607" s="796">
        <f t="shared" si="33"/>
        <v>0</v>
      </c>
      <c r="I607" s="793">
        <f t="shared" si="34"/>
        <v>0</v>
      </c>
      <c r="J607" s="793"/>
      <c r="K607" s="813"/>
      <c r="L607" s="797"/>
      <c r="M607" s="813"/>
      <c r="N607" s="797"/>
      <c r="O607" s="797"/>
    </row>
    <row r="608" spans="3:15">
      <c r="C608" s="789">
        <f>IF(D545="","-",+C607+1)</f>
        <v>2072</v>
      </c>
      <c r="D608" s="737">
        <f t="shared" si="30"/>
        <v>0</v>
      </c>
      <c r="E608" s="790">
        <f t="shared" si="35"/>
        <v>0</v>
      </c>
      <c r="F608" s="737">
        <f t="shared" si="31"/>
        <v>0</v>
      </c>
      <c r="G608" s="795">
        <f t="shared" si="32"/>
        <v>0</v>
      </c>
      <c r="H608" s="796">
        <f t="shared" si="33"/>
        <v>0</v>
      </c>
      <c r="I608" s="793">
        <f t="shared" si="34"/>
        <v>0</v>
      </c>
      <c r="J608" s="793"/>
      <c r="K608" s="813"/>
      <c r="L608" s="797"/>
      <c r="M608" s="813"/>
      <c r="N608" s="797"/>
      <c r="O608" s="797"/>
    </row>
    <row r="609" spans="1:16">
      <c r="C609" s="789">
        <f>IF(D545="","-",+C608+1)</f>
        <v>2073</v>
      </c>
      <c r="D609" s="737">
        <f t="shared" si="30"/>
        <v>0</v>
      </c>
      <c r="E609" s="790">
        <f t="shared" si="35"/>
        <v>0</v>
      </c>
      <c r="F609" s="737">
        <f t="shared" si="31"/>
        <v>0</v>
      </c>
      <c r="G609" s="795">
        <f t="shared" si="32"/>
        <v>0</v>
      </c>
      <c r="H609" s="796">
        <f t="shared" si="33"/>
        <v>0</v>
      </c>
      <c r="I609" s="793">
        <f t="shared" si="34"/>
        <v>0</v>
      </c>
      <c r="J609" s="793"/>
      <c r="K609" s="813"/>
      <c r="L609" s="797"/>
      <c r="M609" s="813"/>
      <c r="N609" s="797"/>
      <c r="O609" s="797"/>
    </row>
    <row r="610" spans="1:16" ht="13.5" thickBot="1">
      <c r="C610" s="799">
        <f>IF(D545="","-",+C609+1)</f>
        <v>2074</v>
      </c>
      <c r="D610" s="800">
        <f t="shared" si="30"/>
        <v>0</v>
      </c>
      <c r="E610" s="801">
        <f t="shared" si="35"/>
        <v>0</v>
      </c>
      <c r="F610" s="800">
        <f t="shared" si="31"/>
        <v>0</v>
      </c>
      <c r="G610" s="802">
        <f t="shared" si="32"/>
        <v>0</v>
      </c>
      <c r="H610" s="802">
        <f t="shared" si="33"/>
        <v>0</v>
      </c>
      <c r="I610" s="803">
        <f t="shared" si="34"/>
        <v>0</v>
      </c>
      <c r="J610" s="793"/>
      <c r="K610" s="814"/>
      <c r="L610" s="804"/>
      <c r="M610" s="814"/>
      <c r="N610" s="804"/>
      <c r="O610" s="804"/>
    </row>
    <row r="611" spans="1:16">
      <c r="C611" s="737" t="s">
        <v>83</v>
      </c>
      <c r="D611" s="731"/>
      <c r="E611" s="731">
        <f>SUM(E551:E610)</f>
        <v>1465792</v>
      </c>
      <c r="F611" s="731"/>
      <c r="G611" s="731">
        <f>SUM(G551:G610)</f>
        <v>4891591.5052931467</v>
      </c>
      <c r="H611" s="731">
        <f>SUM(H551:H610)</f>
        <v>4891591.5052931467</v>
      </c>
      <c r="I611" s="731">
        <f>SUM(I551:I610)</f>
        <v>0</v>
      </c>
      <c r="J611" s="731"/>
      <c r="K611" s="731"/>
      <c r="L611" s="731"/>
      <c r="M611" s="731"/>
      <c r="N611" s="731"/>
      <c r="O611" s="314"/>
    </row>
    <row r="612" spans="1:16">
      <c r="D612" s="539"/>
      <c r="E612" s="314"/>
      <c r="F612" s="314"/>
      <c r="G612" s="314"/>
      <c r="H612" s="709"/>
      <c r="I612" s="709"/>
      <c r="J612" s="731"/>
      <c r="K612" s="709"/>
      <c r="L612" s="709"/>
      <c r="M612" s="709"/>
      <c r="N612" s="709"/>
      <c r="O612" s="314"/>
    </row>
    <row r="613" spans="1:16">
      <c r="C613" s="314" t="s">
        <v>13</v>
      </c>
      <c r="D613" s="539"/>
      <c r="E613" s="314"/>
      <c r="F613" s="314"/>
      <c r="G613" s="314"/>
      <c r="H613" s="709"/>
      <c r="I613" s="709"/>
      <c r="J613" s="731"/>
      <c r="K613" s="709"/>
      <c r="L613" s="709"/>
      <c r="M613" s="709"/>
      <c r="N613" s="709"/>
      <c r="O613" s="314"/>
    </row>
    <row r="614" spans="1:16">
      <c r="C614" s="314"/>
      <c r="D614" s="539"/>
      <c r="E614" s="314"/>
      <c r="F614" s="314"/>
      <c r="G614" s="314"/>
      <c r="H614" s="709"/>
      <c r="I614" s="709"/>
      <c r="J614" s="731"/>
      <c r="K614" s="709"/>
      <c r="L614" s="709"/>
      <c r="M614" s="709"/>
      <c r="N614" s="709"/>
      <c r="O614" s="314"/>
    </row>
    <row r="615" spans="1:16">
      <c r="C615" s="750" t="s">
        <v>14</v>
      </c>
      <c r="D615" s="737"/>
      <c r="E615" s="737"/>
      <c r="F615" s="737"/>
      <c r="G615" s="731"/>
      <c r="H615" s="731"/>
      <c r="I615" s="805"/>
      <c r="J615" s="805"/>
      <c r="K615" s="805"/>
      <c r="L615" s="805"/>
      <c r="M615" s="805"/>
      <c r="N615" s="805"/>
      <c r="O615" s="314"/>
    </row>
    <row r="616" spans="1:16">
      <c r="C616" s="736" t="s">
        <v>263</v>
      </c>
      <c r="D616" s="737"/>
      <c r="E616" s="737"/>
      <c r="F616" s="737"/>
      <c r="G616" s="731"/>
      <c r="H616" s="731"/>
      <c r="I616" s="805"/>
      <c r="J616" s="805"/>
      <c r="K616" s="805"/>
      <c r="L616" s="805"/>
      <c r="M616" s="805"/>
      <c r="N616" s="805"/>
      <c r="O616" s="314"/>
    </row>
    <row r="617" spans="1:16">
      <c r="C617" s="736" t="s">
        <v>84</v>
      </c>
      <c r="D617" s="737"/>
      <c r="E617" s="737"/>
      <c r="F617" s="737"/>
      <c r="G617" s="731"/>
      <c r="H617" s="731"/>
      <c r="I617" s="805"/>
      <c r="J617" s="805"/>
      <c r="K617" s="805"/>
      <c r="L617" s="805"/>
      <c r="M617" s="805"/>
      <c r="N617" s="805"/>
      <c r="O617" s="314"/>
    </row>
    <row r="618" spans="1:16">
      <c r="C618" s="736"/>
      <c r="D618" s="737"/>
      <c r="E618" s="737"/>
      <c r="F618" s="737"/>
      <c r="G618" s="731"/>
      <c r="H618" s="731"/>
      <c r="I618" s="805"/>
      <c r="J618" s="805"/>
      <c r="K618" s="805"/>
      <c r="L618" s="805"/>
      <c r="M618" s="805"/>
      <c r="N618" s="805"/>
      <c r="O618" s="314"/>
    </row>
    <row r="619" spans="1:16">
      <c r="C619" s="1568" t="s">
        <v>6</v>
      </c>
      <c r="D619" s="1568"/>
      <c r="E619" s="1568"/>
      <c r="F619" s="1568"/>
      <c r="G619" s="1568"/>
      <c r="H619" s="1568"/>
      <c r="I619" s="1568"/>
      <c r="J619" s="1568"/>
      <c r="K619" s="1568"/>
      <c r="L619" s="1568"/>
      <c r="M619" s="1568"/>
      <c r="N619" s="1568"/>
      <c r="O619" s="1568"/>
    </row>
    <row r="620" spans="1:16">
      <c r="C620" s="1568"/>
      <c r="D620" s="1568"/>
      <c r="E620" s="1568"/>
      <c r="F620" s="1568"/>
      <c r="G620" s="1568"/>
      <c r="H620" s="1568"/>
      <c r="I620" s="1568"/>
      <c r="J620" s="1568"/>
      <c r="K620" s="1568"/>
      <c r="L620" s="1568"/>
      <c r="M620" s="1568"/>
      <c r="N620" s="1568"/>
      <c r="O620" s="1568"/>
    </row>
    <row r="621" spans="1:16">
      <c r="C621" s="736"/>
      <c r="D621" s="737"/>
      <c r="E621" s="737"/>
      <c r="F621" s="737"/>
      <c r="G621" s="731"/>
      <c r="H621" s="731"/>
    </row>
    <row r="622" spans="1:16" ht="20.25">
      <c r="A622" s="738" t="str">
        <f>""&amp;A546&amp;" Worksheet J -  ATRR PROJECTED Calculation for PJM Projects Charged to Benefiting Zones"</f>
        <v xml:space="preserve"> Worksheet J -  ATRR PROJECTED Calculation for PJM Projects Charged to Benefiting Zones</v>
      </c>
      <c r="B622" s="348"/>
      <c r="C622" s="726"/>
      <c r="D622" s="539"/>
      <c r="E622" s="314"/>
      <c r="F622" s="708"/>
      <c r="G622" s="314"/>
      <c r="H622" s="709"/>
      <c r="K622" s="565"/>
      <c r="L622" s="565"/>
      <c r="M622" s="565"/>
      <c r="N622" s="654" t="str">
        <f>"Page "&amp;SUM(P$8:P622)&amp;" of "</f>
        <v xml:space="preserve">Page 8 of </v>
      </c>
      <c r="O622" s="655">
        <f>COUNT(P$8:P$56653)</f>
        <v>12</v>
      </c>
      <c r="P622" s="739">
        <v>1</v>
      </c>
    </row>
    <row r="623" spans="1:16">
      <c r="B623" s="348"/>
      <c r="C623" s="314"/>
      <c r="D623" s="539"/>
      <c r="E623" s="314"/>
      <c r="F623" s="314"/>
      <c r="G623" s="314"/>
      <c r="H623" s="709"/>
      <c r="I623" s="314"/>
      <c r="J623" s="427"/>
      <c r="K623" s="314"/>
      <c r="L623" s="314"/>
      <c r="M623" s="314"/>
      <c r="N623" s="314"/>
      <c r="O623" s="314"/>
      <c r="P623" s="427"/>
    </row>
    <row r="624" spans="1:16" ht="18">
      <c r="B624" s="658" t="s">
        <v>466</v>
      </c>
      <c r="C624" s="740" t="s">
        <v>85</v>
      </c>
      <c r="D624" s="539"/>
      <c r="E624" s="314"/>
      <c r="F624" s="314"/>
      <c r="G624" s="314"/>
      <c r="H624" s="709"/>
      <c r="I624" s="709"/>
      <c r="J624" s="731"/>
      <c r="K624" s="709"/>
      <c r="L624" s="709"/>
      <c r="M624" s="709"/>
      <c r="N624" s="709"/>
      <c r="O624" s="314"/>
    </row>
    <row r="625" spans="2:15" ht="18.75">
      <c r="B625" s="658"/>
      <c r="C625" s="657"/>
      <c r="D625" s="539"/>
      <c r="E625" s="314"/>
      <c r="F625" s="314"/>
      <c r="G625" s="314"/>
      <c r="H625" s="709"/>
      <c r="I625" s="709"/>
      <c r="J625" s="731"/>
      <c r="K625" s="709"/>
      <c r="L625" s="709"/>
      <c r="M625" s="709"/>
      <c r="N625" s="709"/>
      <c r="O625" s="314"/>
    </row>
    <row r="626" spans="2:15" ht="18.75">
      <c r="B626" s="658"/>
      <c r="C626" s="657" t="s">
        <v>86</v>
      </c>
      <c r="D626" s="539"/>
      <c r="E626" s="314"/>
      <c r="F626" s="314"/>
      <c r="G626" s="314"/>
      <c r="H626" s="709"/>
      <c r="I626" s="709"/>
      <c r="J626" s="731"/>
      <c r="K626" s="709"/>
      <c r="L626" s="709"/>
      <c r="M626" s="709"/>
      <c r="N626" s="709"/>
      <c r="O626" s="314"/>
    </row>
    <row r="627" spans="2:15" ht="15.75" thickBot="1">
      <c r="C627" s="240"/>
      <c r="D627" s="539"/>
      <c r="E627" s="314"/>
      <c r="F627" s="314"/>
      <c r="G627" s="314"/>
      <c r="H627" s="709"/>
      <c r="I627" s="709"/>
      <c r="J627" s="731"/>
      <c r="K627" s="709"/>
      <c r="L627" s="709"/>
      <c r="M627" s="709"/>
      <c r="N627" s="709"/>
      <c r="O627" s="314"/>
    </row>
    <row r="628" spans="2:15" ht="15.75">
      <c r="C628" s="660" t="s">
        <v>87</v>
      </c>
      <c r="D628" s="539"/>
      <c r="E628" s="314"/>
      <c r="F628" s="314"/>
      <c r="G628" s="807"/>
      <c r="H628" s="314" t="s">
        <v>66</v>
      </c>
      <c r="I628" s="314"/>
      <c r="J628" s="427"/>
      <c r="K628" s="741" t="s">
        <v>91</v>
      </c>
      <c r="L628" s="742"/>
      <c r="M628" s="743"/>
      <c r="N628" s="744">
        <f>IF(I634=0,0,VLOOKUP(I634,C641:O700,5))</f>
        <v>17695087.092276916</v>
      </c>
      <c r="O628" s="314"/>
    </row>
    <row r="629" spans="2:15" ht="15.75">
      <c r="C629" s="660"/>
      <c r="D629" s="539"/>
      <c r="E629" s="314"/>
      <c r="F629" s="314"/>
      <c r="G629" s="314"/>
      <c r="H629" s="745"/>
      <c r="I629" s="745"/>
      <c r="J629" s="746"/>
      <c r="K629" s="747" t="s">
        <v>92</v>
      </c>
      <c r="L629" s="748"/>
      <c r="M629" s="427"/>
      <c r="N629" s="749">
        <f>IF(I634=0,0,VLOOKUP(I634,C641:O700,6))</f>
        <v>17695087.092276916</v>
      </c>
      <c r="O629" s="314"/>
    </row>
    <row r="630" spans="2:15" ht="13.5" thickBot="1">
      <c r="C630" s="750" t="s">
        <v>88</v>
      </c>
      <c r="D630" s="1567" t="s">
        <v>817</v>
      </c>
      <c r="E630" s="1567"/>
      <c r="F630" s="1567"/>
      <c r="G630" s="1567"/>
      <c r="H630" s="1567"/>
      <c r="I630" s="1567"/>
      <c r="J630" s="731"/>
      <c r="K630" s="751" t="s">
        <v>230</v>
      </c>
      <c r="L630" s="752"/>
      <c r="M630" s="752"/>
      <c r="N630" s="753">
        <f>+N629-N628</f>
        <v>0</v>
      </c>
      <c r="O630" s="314"/>
    </row>
    <row r="631" spans="2:15">
      <c r="C631" s="754"/>
      <c r="D631" s="755"/>
      <c r="E631" s="735"/>
      <c r="F631" s="735"/>
      <c r="G631" s="756"/>
      <c r="H631" s="709"/>
      <c r="I631" s="709"/>
      <c r="J631" s="731"/>
      <c r="K631" s="709"/>
      <c r="L631" s="709"/>
      <c r="M631" s="709"/>
      <c r="N631" s="709"/>
      <c r="O631" s="314"/>
    </row>
    <row r="632" spans="2:15" ht="13.5" thickBot="1">
      <c r="C632" s="757"/>
      <c r="D632" s="758"/>
      <c r="E632" s="756"/>
      <c r="F632" s="756"/>
      <c r="G632" s="756"/>
      <c r="H632" s="756"/>
      <c r="I632" s="756"/>
      <c r="J632" s="759"/>
      <c r="K632" s="756"/>
      <c r="L632" s="756"/>
      <c r="M632" s="756"/>
      <c r="N632" s="756"/>
      <c r="O632" s="348"/>
    </row>
    <row r="633" spans="2:15" ht="13.5" thickBot="1">
      <c r="C633" s="760" t="s">
        <v>89</v>
      </c>
      <c r="D633" s="761"/>
      <c r="E633" s="761"/>
      <c r="F633" s="761"/>
      <c r="G633" s="761"/>
      <c r="H633" s="761"/>
      <c r="I633" s="762"/>
      <c r="J633" s="763"/>
      <c r="K633" s="314"/>
      <c r="L633" s="314"/>
      <c r="M633" s="314"/>
      <c r="N633" s="314"/>
      <c r="O633" s="764"/>
    </row>
    <row r="634" spans="2:15" ht="15">
      <c r="C634" s="765" t="s">
        <v>67</v>
      </c>
      <c r="D634" s="809">
        <v>151946137</v>
      </c>
      <c r="E634" s="726" t="s">
        <v>68</v>
      </c>
      <c r="G634" s="766"/>
      <c r="H634" s="766"/>
      <c r="I634" s="767">
        <f>$L$26</f>
        <v>2022</v>
      </c>
      <c r="J634" s="555"/>
      <c r="K634" s="1569" t="s">
        <v>239</v>
      </c>
      <c r="L634" s="1569"/>
      <c r="M634" s="1569"/>
      <c r="N634" s="1569"/>
      <c r="O634" s="1569"/>
    </row>
    <row r="635" spans="2:15">
      <c r="C635" s="765" t="s">
        <v>70</v>
      </c>
      <c r="D635" s="810">
        <v>2015</v>
      </c>
      <c r="E635" s="765" t="s">
        <v>71</v>
      </c>
      <c r="F635" s="766"/>
      <c r="H635" s="173"/>
      <c r="I635" s="811">
        <f>IF(G628="",0,$F$17)</f>
        <v>0</v>
      </c>
      <c r="J635" s="768"/>
      <c r="K635" s="731" t="s">
        <v>239</v>
      </c>
    </row>
    <row r="636" spans="2:15">
      <c r="C636" s="765" t="s">
        <v>72</v>
      </c>
      <c r="D636" s="809">
        <v>5</v>
      </c>
      <c r="E636" s="765" t="s">
        <v>73</v>
      </c>
      <c r="F636" s="766"/>
      <c r="H636" s="173"/>
      <c r="I636" s="769">
        <f>$G$70</f>
        <v>0.11129362813814259</v>
      </c>
      <c r="J636" s="770"/>
      <c r="K636" s="173" t="str">
        <f>"          INPUT PROJECTED ARR (WITH &amp; WITHOUT INCENTIVES) FROM EACH PRIOR YEAR"</f>
        <v xml:space="preserve">          INPUT PROJECTED ARR (WITH &amp; WITHOUT INCENTIVES) FROM EACH PRIOR YEAR</v>
      </c>
    </row>
    <row r="637" spans="2:15">
      <c r="C637" s="765" t="s">
        <v>74</v>
      </c>
      <c r="D637" s="771">
        <f>$G$79</f>
        <v>41</v>
      </c>
      <c r="E637" s="765" t="s">
        <v>75</v>
      </c>
      <c r="F637" s="766"/>
      <c r="H637" s="173"/>
      <c r="I637" s="769">
        <f>IF(G628="",I636,$G$69)</f>
        <v>0.11129362813814259</v>
      </c>
      <c r="J637" s="772"/>
      <c r="K637" s="173" t="s">
        <v>152</v>
      </c>
    </row>
    <row r="638" spans="2:15" ht="13.5" thickBot="1">
      <c r="C638" s="765" t="s">
        <v>76</v>
      </c>
      <c r="D638" s="808" t="s">
        <v>811</v>
      </c>
      <c r="E638" s="773" t="s">
        <v>77</v>
      </c>
      <c r="F638" s="774"/>
      <c r="G638" s="775"/>
      <c r="H638" s="775"/>
      <c r="I638" s="753">
        <f>IF(D634=0,0,D634/D637)</f>
        <v>3706003.3414634145</v>
      </c>
      <c r="J638" s="731"/>
      <c r="K638" s="731" t="s">
        <v>158</v>
      </c>
      <c r="L638" s="731"/>
      <c r="M638" s="731"/>
      <c r="N638" s="731"/>
      <c r="O638" s="427"/>
    </row>
    <row r="639" spans="2:15" ht="38.25">
      <c r="B639" s="846"/>
      <c r="C639" s="776" t="s">
        <v>67</v>
      </c>
      <c r="D639" s="777" t="s">
        <v>78</v>
      </c>
      <c r="E639" s="778" t="s">
        <v>79</v>
      </c>
      <c r="F639" s="777" t="s">
        <v>80</v>
      </c>
      <c r="G639" s="778" t="s">
        <v>151</v>
      </c>
      <c r="H639" s="779" t="s">
        <v>151</v>
      </c>
      <c r="I639" s="776" t="s">
        <v>90</v>
      </c>
      <c r="J639" s="780"/>
      <c r="K639" s="778" t="s">
        <v>160</v>
      </c>
      <c r="L639" s="781"/>
      <c r="M639" s="778" t="s">
        <v>160</v>
      </c>
      <c r="N639" s="781"/>
      <c r="O639" s="781"/>
    </row>
    <row r="640" spans="2:15" ht="13.5" thickBot="1">
      <c r="C640" s="782" t="s">
        <v>469</v>
      </c>
      <c r="D640" s="783" t="s">
        <v>470</v>
      </c>
      <c r="E640" s="782" t="s">
        <v>363</v>
      </c>
      <c r="F640" s="783" t="s">
        <v>470</v>
      </c>
      <c r="G640" s="784" t="s">
        <v>93</v>
      </c>
      <c r="H640" s="785" t="s">
        <v>95</v>
      </c>
      <c r="I640" s="786" t="s">
        <v>15</v>
      </c>
      <c r="J640" s="787"/>
      <c r="K640" s="784" t="s">
        <v>82</v>
      </c>
      <c r="L640" s="788"/>
      <c r="M640" s="784" t="s">
        <v>95</v>
      </c>
      <c r="N640" s="788"/>
      <c r="O640" s="788"/>
    </row>
    <row r="641" spans="3:15">
      <c r="C641" s="789">
        <f>IF(D635= "","-",D635)</f>
        <v>2015</v>
      </c>
      <c r="D641" s="737">
        <f>+D634</f>
        <v>151946137</v>
      </c>
      <c r="E641" s="790">
        <f>+I638/12*(12-D636)</f>
        <v>2161835.2825203249</v>
      </c>
      <c r="F641" s="737">
        <f>+D641-E641</f>
        <v>149784301.71747968</v>
      </c>
      <c r="G641" s="1001">
        <f>+$I$96*((D641+F641)/2)+E641</f>
        <v>18952172.904811226</v>
      </c>
      <c r="H641" s="1002">
        <f>$I$97*((D641+F641)/2)+E641</f>
        <v>18952172.904811226</v>
      </c>
      <c r="I641" s="793">
        <f>+H641-G641</f>
        <v>0</v>
      </c>
      <c r="J641" s="793"/>
      <c r="K641" s="812">
        <v>772367</v>
      </c>
      <c r="L641" s="794"/>
      <c r="M641" s="812">
        <v>772367</v>
      </c>
      <c r="N641" s="794"/>
      <c r="O641" s="794"/>
    </row>
    <row r="642" spans="3:15">
      <c r="C642" s="789">
        <f>IF(D635="","-",+C641+1)</f>
        <v>2016</v>
      </c>
      <c r="D642" s="737">
        <f t="shared" ref="D642:D700" si="36">F641</f>
        <v>149784301.71747968</v>
      </c>
      <c r="E642" s="790">
        <f>IF(D642&gt;$I$638,$I$638,D642)</f>
        <v>3706003.3414634145</v>
      </c>
      <c r="F642" s="737">
        <f t="shared" ref="F642:F700" si="37">+D642-E642</f>
        <v>146078298.37601626</v>
      </c>
      <c r="G642" s="795">
        <f t="shared" ref="G642:G700" si="38">+$I$96*((D642+F642)/2)+E642</f>
        <v>20169814.438858178</v>
      </c>
      <c r="H642" s="796">
        <f t="shared" ref="H642:H700" si="39">$I$97*((D642+F642)/2)+E642</f>
        <v>20169814.438858178</v>
      </c>
      <c r="I642" s="793">
        <f t="shared" ref="I642:I700" si="40">+H642-G642</f>
        <v>0</v>
      </c>
      <c r="J642" s="793"/>
      <c r="K642" s="813">
        <v>15720783</v>
      </c>
      <c r="L642" s="797"/>
      <c r="M642" s="813">
        <v>15720783</v>
      </c>
      <c r="N642" s="797"/>
      <c r="O642" s="797"/>
    </row>
    <row r="643" spans="3:15">
      <c r="C643" s="789">
        <f>IF(D635="","-",+C642+1)</f>
        <v>2017</v>
      </c>
      <c r="D643" s="737">
        <f t="shared" si="36"/>
        <v>146078298.37601626</v>
      </c>
      <c r="E643" s="790">
        <f t="shared" ref="E643:E700" si="41">IF(D643&gt;$I$638,$I$638,D643)</f>
        <v>3706003.3414634145</v>
      </c>
      <c r="F643" s="737">
        <f t="shared" si="37"/>
        <v>142372295.03455284</v>
      </c>
      <c r="G643" s="795">
        <f t="shared" si="38"/>
        <v>19757359.881094631</v>
      </c>
      <c r="H643" s="796">
        <f t="shared" si="39"/>
        <v>19757359.881094631</v>
      </c>
      <c r="I643" s="793">
        <f t="shared" si="40"/>
        <v>0</v>
      </c>
      <c r="J643" s="793"/>
      <c r="K643" s="813">
        <v>19038423</v>
      </c>
      <c r="L643" s="797"/>
      <c r="M643" s="813">
        <v>19038423</v>
      </c>
      <c r="N643" s="797"/>
      <c r="O643" s="797"/>
    </row>
    <row r="644" spans="3:15">
      <c r="C644" s="1311">
        <f>IF(D635="","-",+C643+1)</f>
        <v>2018</v>
      </c>
      <c r="D644" s="737">
        <f t="shared" si="36"/>
        <v>142372295.03455284</v>
      </c>
      <c r="E644" s="790">
        <f t="shared" si="41"/>
        <v>3706003.3414634145</v>
      </c>
      <c r="F644" s="737">
        <f t="shared" si="37"/>
        <v>138666291.69308943</v>
      </c>
      <c r="G644" s="795">
        <f t="shared" si="38"/>
        <v>19344905.323331092</v>
      </c>
      <c r="H644" s="796">
        <f t="shared" si="39"/>
        <v>19344905.323331092</v>
      </c>
      <c r="I644" s="793">
        <f t="shared" si="40"/>
        <v>0</v>
      </c>
      <c r="J644" s="793"/>
      <c r="K644" s="813">
        <v>16446267</v>
      </c>
      <c r="L644" s="797"/>
      <c r="M644" s="813">
        <v>16446267</v>
      </c>
      <c r="N644" s="797"/>
      <c r="O644" s="797"/>
    </row>
    <row r="645" spans="3:15">
      <c r="C645" s="1307">
        <f>IF(D635="","-",+C644+1)</f>
        <v>2019</v>
      </c>
      <c r="D645" s="737">
        <f t="shared" si="36"/>
        <v>138666291.69308943</v>
      </c>
      <c r="E645" s="790">
        <f t="shared" si="41"/>
        <v>3706003.3414634145</v>
      </c>
      <c r="F645" s="737">
        <f t="shared" si="37"/>
        <v>134960288.35162601</v>
      </c>
      <c r="G645" s="795">
        <f t="shared" si="38"/>
        <v>18932450.765567545</v>
      </c>
      <c r="H645" s="796">
        <f t="shared" si="39"/>
        <v>18932450.765567545</v>
      </c>
      <c r="I645" s="793">
        <f t="shared" si="40"/>
        <v>0</v>
      </c>
      <c r="J645" s="793"/>
      <c r="K645" s="813"/>
      <c r="L645" s="797"/>
      <c r="M645" s="813"/>
      <c r="N645" s="797"/>
      <c r="O645" s="797"/>
    </row>
    <row r="646" spans="3:15">
      <c r="C646" s="789">
        <f>IF(D635="","-",+C645+1)</f>
        <v>2020</v>
      </c>
      <c r="D646" s="737">
        <f t="shared" si="36"/>
        <v>134960288.35162601</v>
      </c>
      <c r="E646" s="790">
        <f t="shared" si="41"/>
        <v>3706003.3414634145</v>
      </c>
      <c r="F646" s="737">
        <f t="shared" si="37"/>
        <v>131254285.01016259</v>
      </c>
      <c r="G646" s="795">
        <f t="shared" si="38"/>
        <v>18519996.207804006</v>
      </c>
      <c r="H646" s="796">
        <f t="shared" si="39"/>
        <v>18519996.207804006</v>
      </c>
      <c r="I646" s="793">
        <f t="shared" si="40"/>
        <v>0</v>
      </c>
      <c r="J646" s="793"/>
      <c r="K646" s="813"/>
      <c r="L646" s="797"/>
      <c r="M646" s="813"/>
      <c r="N646" s="797"/>
      <c r="O646" s="797"/>
    </row>
    <row r="647" spans="3:15">
      <c r="C647" s="789">
        <f>IF(D635="","-",+C646+1)</f>
        <v>2021</v>
      </c>
      <c r="D647" s="737">
        <f t="shared" si="36"/>
        <v>131254285.01016259</v>
      </c>
      <c r="E647" s="790">
        <f t="shared" si="41"/>
        <v>3706003.3414634145</v>
      </c>
      <c r="F647" s="737">
        <f t="shared" si="37"/>
        <v>127548281.66869918</v>
      </c>
      <c r="G647" s="795">
        <f t="shared" si="38"/>
        <v>18107541.650040459</v>
      </c>
      <c r="H647" s="796">
        <f t="shared" si="39"/>
        <v>18107541.650040459</v>
      </c>
      <c r="I647" s="793">
        <f t="shared" si="40"/>
        <v>0</v>
      </c>
      <c r="J647" s="793"/>
      <c r="K647" s="813"/>
      <c r="L647" s="797"/>
      <c r="M647" s="813"/>
      <c r="N647" s="797"/>
      <c r="O647" s="797"/>
    </row>
    <row r="648" spans="3:15">
      <c r="C648" s="789">
        <f>IF(D635="","-",+C647+1)</f>
        <v>2022</v>
      </c>
      <c r="D648" s="737">
        <f t="shared" si="36"/>
        <v>127548281.66869918</v>
      </c>
      <c r="E648" s="790">
        <f t="shared" si="41"/>
        <v>3706003.3414634145</v>
      </c>
      <c r="F648" s="737">
        <f t="shared" si="37"/>
        <v>123842278.32723576</v>
      </c>
      <c r="G648" s="795">
        <f t="shared" si="38"/>
        <v>17695087.092276916</v>
      </c>
      <c r="H648" s="796">
        <f t="shared" si="39"/>
        <v>17695087.092276916</v>
      </c>
      <c r="I648" s="793">
        <f t="shared" si="40"/>
        <v>0</v>
      </c>
      <c r="J648" s="793"/>
      <c r="K648" s="813"/>
      <c r="L648" s="797"/>
      <c r="M648" s="813"/>
      <c r="N648" s="797"/>
      <c r="O648" s="797"/>
    </row>
    <row r="649" spans="3:15">
      <c r="C649" s="789">
        <f>IF(D635="","-",+C648+1)</f>
        <v>2023</v>
      </c>
      <c r="D649" s="737">
        <f t="shared" si="36"/>
        <v>123842278.32723576</v>
      </c>
      <c r="E649" s="790">
        <f t="shared" si="41"/>
        <v>3706003.3414634145</v>
      </c>
      <c r="F649" s="737">
        <f t="shared" si="37"/>
        <v>120136274.98577234</v>
      </c>
      <c r="G649" s="795">
        <f t="shared" si="38"/>
        <v>17282632.534513373</v>
      </c>
      <c r="H649" s="796">
        <f t="shared" si="39"/>
        <v>17282632.534513373</v>
      </c>
      <c r="I649" s="793">
        <f t="shared" si="40"/>
        <v>0</v>
      </c>
      <c r="J649" s="793"/>
      <c r="K649" s="813"/>
      <c r="L649" s="797"/>
      <c r="M649" s="813"/>
      <c r="N649" s="797"/>
      <c r="O649" s="797"/>
    </row>
    <row r="650" spans="3:15">
      <c r="C650" s="789">
        <f>IF(D635="","-",+C649+1)</f>
        <v>2024</v>
      </c>
      <c r="D650" s="737">
        <f t="shared" si="36"/>
        <v>120136274.98577234</v>
      </c>
      <c r="E650" s="790">
        <f t="shared" si="41"/>
        <v>3706003.3414634145</v>
      </c>
      <c r="F650" s="737">
        <f t="shared" si="37"/>
        <v>116430271.64430892</v>
      </c>
      <c r="G650" s="795">
        <f t="shared" si="38"/>
        <v>16870177.97674983</v>
      </c>
      <c r="H650" s="796">
        <f t="shared" si="39"/>
        <v>16870177.97674983</v>
      </c>
      <c r="I650" s="793">
        <f t="shared" si="40"/>
        <v>0</v>
      </c>
      <c r="J650" s="793"/>
      <c r="K650" s="813"/>
      <c r="L650" s="797"/>
      <c r="M650" s="813"/>
      <c r="N650" s="797"/>
      <c r="O650" s="797"/>
    </row>
    <row r="651" spans="3:15">
      <c r="C651" s="789">
        <f>IF(D635="","-",+C650+1)</f>
        <v>2025</v>
      </c>
      <c r="D651" s="737">
        <f t="shared" si="36"/>
        <v>116430271.64430892</v>
      </c>
      <c r="E651" s="790">
        <f t="shared" si="41"/>
        <v>3706003.3414634145</v>
      </c>
      <c r="F651" s="737">
        <f t="shared" si="37"/>
        <v>112724268.30284551</v>
      </c>
      <c r="G651" s="795">
        <f t="shared" si="38"/>
        <v>16457723.418986287</v>
      </c>
      <c r="H651" s="796">
        <f t="shared" si="39"/>
        <v>16457723.418986287</v>
      </c>
      <c r="I651" s="793">
        <f t="shared" si="40"/>
        <v>0</v>
      </c>
      <c r="J651" s="793"/>
      <c r="K651" s="813"/>
      <c r="L651" s="797"/>
      <c r="M651" s="813"/>
      <c r="N651" s="797"/>
      <c r="O651" s="797"/>
    </row>
    <row r="652" spans="3:15">
      <c r="C652" s="789">
        <f>IF(D635="","-",+C651+1)</f>
        <v>2026</v>
      </c>
      <c r="D652" s="737">
        <f t="shared" si="36"/>
        <v>112724268.30284551</v>
      </c>
      <c r="E652" s="790">
        <f t="shared" si="41"/>
        <v>3706003.3414634145</v>
      </c>
      <c r="F652" s="737">
        <f t="shared" si="37"/>
        <v>109018264.96138209</v>
      </c>
      <c r="G652" s="795">
        <f t="shared" si="38"/>
        <v>16045268.861222744</v>
      </c>
      <c r="H652" s="796">
        <f t="shared" si="39"/>
        <v>16045268.861222744</v>
      </c>
      <c r="I652" s="793">
        <f t="shared" si="40"/>
        <v>0</v>
      </c>
      <c r="J652" s="793"/>
      <c r="K652" s="813"/>
      <c r="L652" s="797"/>
      <c r="M652" s="813"/>
      <c r="N652" s="797"/>
      <c r="O652" s="797"/>
    </row>
    <row r="653" spans="3:15">
      <c r="C653" s="789">
        <f>IF(D635="","-",+C652+1)</f>
        <v>2027</v>
      </c>
      <c r="D653" s="737">
        <f t="shared" si="36"/>
        <v>109018264.96138209</v>
      </c>
      <c r="E653" s="790">
        <f t="shared" si="41"/>
        <v>3706003.3414634145</v>
      </c>
      <c r="F653" s="737">
        <f t="shared" si="37"/>
        <v>105312261.61991867</v>
      </c>
      <c r="G653" s="795">
        <f t="shared" si="38"/>
        <v>15632814.303459201</v>
      </c>
      <c r="H653" s="796">
        <f t="shared" si="39"/>
        <v>15632814.303459201</v>
      </c>
      <c r="I653" s="793">
        <f t="shared" si="40"/>
        <v>0</v>
      </c>
      <c r="J653" s="793"/>
      <c r="K653" s="813"/>
      <c r="L653" s="797"/>
      <c r="M653" s="813"/>
      <c r="N653" s="798"/>
      <c r="O653" s="797"/>
    </row>
    <row r="654" spans="3:15">
      <c r="C654" s="789">
        <f>IF(D635="","-",+C653+1)</f>
        <v>2028</v>
      </c>
      <c r="D654" s="737">
        <f t="shared" si="36"/>
        <v>105312261.61991867</v>
      </c>
      <c r="E654" s="790">
        <f t="shared" si="41"/>
        <v>3706003.3414634145</v>
      </c>
      <c r="F654" s="737">
        <f t="shared" si="37"/>
        <v>101606258.27845526</v>
      </c>
      <c r="G654" s="795">
        <f t="shared" si="38"/>
        <v>15220359.745695658</v>
      </c>
      <c r="H654" s="796">
        <f t="shared" si="39"/>
        <v>15220359.745695658</v>
      </c>
      <c r="I654" s="793">
        <f t="shared" si="40"/>
        <v>0</v>
      </c>
      <c r="J654" s="793"/>
      <c r="K654" s="813"/>
      <c r="L654" s="797"/>
      <c r="M654" s="813"/>
      <c r="N654" s="797"/>
      <c r="O654" s="797"/>
    </row>
    <row r="655" spans="3:15">
      <c r="C655" s="789">
        <f>IF(D635="","-",+C654+1)</f>
        <v>2029</v>
      </c>
      <c r="D655" s="737">
        <f t="shared" si="36"/>
        <v>101606258.27845526</v>
      </c>
      <c r="E655" s="790">
        <f t="shared" si="41"/>
        <v>3706003.3414634145</v>
      </c>
      <c r="F655" s="737">
        <f t="shared" si="37"/>
        <v>97900254.936991841</v>
      </c>
      <c r="G655" s="795">
        <f t="shared" si="38"/>
        <v>14807905.187932115</v>
      </c>
      <c r="H655" s="796">
        <f t="shared" si="39"/>
        <v>14807905.187932115</v>
      </c>
      <c r="I655" s="793">
        <f t="shared" si="40"/>
        <v>0</v>
      </c>
      <c r="J655" s="793"/>
      <c r="K655" s="813"/>
      <c r="L655" s="797"/>
      <c r="M655" s="813"/>
      <c r="N655" s="797"/>
      <c r="O655" s="797"/>
    </row>
    <row r="656" spans="3:15">
      <c r="C656" s="789">
        <f>IF(D635="","-",+C655+1)</f>
        <v>2030</v>
      </c>
      <c r="D656" s="737">
        <f t="shared" si="36"/>
        <v>97900254.936991841</v>
      </c>
      <c r="E656" s="790">
        <f t="shared" si="41"/>
        <v>3706003.3414634145</v>
      </c>
      <c r="F656" s="737">
        <f t="shared" si="37"/>
        <v>94194251.595528424</v>
      </c>
      <c r="G656" s="795">
        <f t="shared" si="38"/>
        <v>14395450.63016857</v>
      </c>
      <c r="H656" s="796">
        <f t="shared" si="39"/>
        <v>14395450.63016857</v>
      </c>
      <c r="I656" s="793">
        <f t="shared" si="40"/>
        <v>0</v>
      </c>
      <c r="J656" s="793"/>
      <c r="K656" s="813"/>
      <c r="L656" s="797"/>
      <c r="M656" s="813"/>
      <c r="N656" s="797"/>
      <c r="O656" s="797"/>
    </row>
    <row r="657" spans="3:15">
      <c r="C657" s="789">
        <f>IF(D635="","-",+C656+1)</f>
        <v>2031</v>
      </c>
      <c r="D657" s="737">
        <f t="shared" si="36"/>
        <v>94194251.595528424</v>
      </c>
      <c r="E657" s="790">
        <f t="shared" si="41"/>
        <v>3706003.3414634145</v>
      </c>
      <c r="F657" s="737">
        <f t="shared" si="37"/>
        <v>90488248.254065007</v>
      </c>
      <c r="G657" s="795">
        <f t="shared" si="38"/>
        <v>13982996.072405027</v>
      </c>
      <c r="H657" s="796">
        <f t="shared" si="39"/>
        <v>13982996.072405027</v>
      </c>
      <c r="I657" s="793">
        <f t="shared" si="40"/>
        <v>0</v>
      </c>
      <c r="J657" s="793"/>
      <c r="K657" s="813"/>
      <c r="L657" s="797"/>
      <c r="M657" s="813"/>
      <c r="N657" s="797"/>
      <c r="O657" s="797"/>
    </row>
    <row r="658" spans="3:15">
      <c r="C658" s="789">
        <f>IF(D635="","-",+C657+1)</f>
        <v>2032</v>
      </c>
      <c r="D658" s="737">
        <f t="shared" si="36"/>
        <v>90488248.254065007</v>
      </c>
      <c r="E658" s="790">
        <f t="shared" si="41"/>
        <v>3706003.3414634145</v>
      </c>
      <c r="F658" s="737">
        <f t="shared" si="37"/>
        <v>86782244.91260159</v>
      </c>
      <c r="G658" s="795">
        <f t="shared" si="38"/>
        <v>13570541.514641484</v>
      </c>
      <c r="H658" s="796">
        <f t="shared" si="39"/>
        <v>13570541.514641484</v>
      </c>
      <c r="I658" s="793">
        <f t="shared" si="40"/>
        <v>0</v>
      </c>
      <c r="J658" s="793"/>
      <c r="K658" s="813"/>
      <c r="L658" s="797"/>
      <c r="M658" s="813"/>
      <c r="N658" s="797"/>
      <c r="O658" s="797"/>
    </row>
    <row r="659" spans="3:15">
      <c r="C659" s="789">
        <f>IF(D635="","-",+C658+1)</f>
        <v>2033</v>
      </c>
      <c r="D659" s="737">
        <f t="shared" si="36"/>
        <v>86782244.91260159</v>
      </c>
      <c r="E659" s="790">
        <f t="shared" si="41"/>
        <v>3706003.3414634145</v>
      </c>
      <c r="F659" s="737">
        <f t="shared" si="37"/>
        <v>83076241.571138173</v>
      </c>
      <c r="G659" s="795">
        <f t="shared" si="38"/>
        <v>13158086.956877941</v>
      </c>
      <c r="H659" s="796">
        <f t="shared" si="39"/>
        <v>13158086.956877941</v>
      </c>
      <c r="I659" s="793">
        <f t="shared" si="40"/>
        <v>0</v>
      </c>
      <c r="J659" s="793"/>
      <c r="K659" s="813"/>
      <c r="L659" s="797"/>
      <c r="M659" s="813"/>
      <c r="N659" s="797"/>
      <c r="O659" s="797"/>
    </row>
    <row r="660" spans="3:15">
      <c r="C660" s="789">
        <f>IF(D635="","-",+C659+1)</f>
        <v>2034</v>
      </c>
      <c r="D660" s="737">
        <f t="shared" si="36"/>
        <v>83076241.571138173</v>
      </c>
      <c r="E660" s="790">
        <f t="shared" si="41"/>
        <v>3706003.3414634145</v>
      </c>
      <c r="F660" s="737">
        <f t="shared" si="37"/>
        <v>79370238.229674757</v>
      </c>
      <c r="G660" s="795">
        <f t="shared" si="38"/>
        <v>12745632.399114398</v>
      </c>
      <c r="H660" s="796">
        <f t="shared" si="39"/>
        <v>12745632.399114398</v>
      </c>
      <c r="I660" s="793">
        <f t="shared" si="40"/>
        <v>0</v>
      </c>
      <c r="J660" s="793"/>
      <c r="K660" s="813"/>
      <c r="L660" s="797"/>
      <c r="M660" s="813"/>
      <c r="N660" s="797"/>
      <c r="O660" s="797"/>
    </row>
    <row r="661" spans="3:15">
      <c r="C661" s="789">
        <f>IF(D635="","-",+C660+1)</f>
        <v>2035</v>
      </c>
      <c r="D661" s="737">
        <f t="shared" si="36"/>
        <v>79370238.229674757</v>
      </c>
      <c r="E661" s="790">
        <f t="shared" si="41"/>
        <v>3706003.3414634145</v>
      </c>
      <c r="F661" s="737">
        <f t="shared" si="37"/>
        <v>75664234.88821134</v>
      </c>
      <c r="G661" s="795">
        <f t="shared" si="38"/>
        <v>12333177.841350853</v>
      </c>
      <c r="H661" s="796">
        <f t="shared" si="39"/>
        <v>12333177.841350853</v>
      </c>
      <c r="I661" s="793">
        <f t="shared" si="40"/>
        <v>0</v>
      </c>
      <c r="J661" s="793"/>
      <c r="K661" s="813"/>
      <c r="L661" s="797"/>
      <c r="M661" s="813"/>
      <c r="N661" s="797"/>
      <c r="O661" s="797"/>
    </row>
    <row r="662" spans="3:15">
      <c r="C662" s="789">
        <f>IF(D635="","-",+C661+1)</f>
        <v>2036</v>
      </c>
      <c r="D662" s="737">
        <f t="shared" si="36"/>
        <v>75664234.88821134</v>
      </c>
      <c r="E662" s="790">
        <f t="shared" si="41"/>
        <v>3706003.3414634145</v>
      </c>
      <c r="F662" s="737">
        <f t="shared" si="37"/>
        <v>71958231.546747923</v>
      </c>
      <c r="G662" s="795">
        <f t="shared" si="38"/>
        <v>11920723.28358731</v>
      </c>
      <c r="H662" s="796">
        <f t="shared" si="39"/>
        <v>11920723.28358731</v>
      </c>
      <c r="I662" s="793">
        <f t="shared" si="40"/>
        <v>0</v>
      </c>
      <c r="J662" s="793"/>
      <c r="K662" s="813"/>
      <c r="L662" s="797"/>
      <c r="M662" s="813"/>
      <c r="N662" s="797"/>
      <c r="O662" s="797"/>
    </row>
    <row r="663" spans="3:15">
      <c r="C663" s="789">
        <f>IF(D635="","-",+C662+1)</f>
        <v>2037</v>
      </c>
      <c r="D663" s="737">
        <f t="shared" si="36"/>
        <v>71958231.546747923</v>
      </c>
      <c r="E663" s="790">
        <f t="shared" si="41"/>
        <v>3706003.3414634145</v>
      </c>
      <c r="F663" s="737">
        <f t="shared" si="37"/>
        <v>68252228.205284506</v>
      </c>
      <c r="G663" s="795">
        <f t="shared" si="38"/>
        <v>11508268.725823767</v>
      </c>
      <c r="H663" s="796">
        <f t="shared" si="39"/>
        <v>11508268.725823767</v>
      </c>
      <c r="I663" s="793">
        <f t="shared" si="40"/>
        <v>0</v>
      </c>
      <c r="J663" s="793"/>
      <c r="K663" s="813"/>
      <c r="L663" s="797"/>
      <c r="M663" s="813"/>
      <c r="N663" s="797"/>
      <c r="O663" s="797"/>
    </row>
    <row r="664" spans="3:15">
      <c r="C664" s="789">
        <f>IF(D635="","-",+C663+1)</f>
        <v>2038</v>
      </c>
      <c r="D664" s="737">
        <f t="shared" si="36"/>
        <v>68252228.205284506</v>
      </c>
      <c r="E664" s="790">
        <f t="shared" si="41"/>
        <v>3706003.3414634145</v>
      </c>
      <c r="F664" s="737">
        <f t="shared" si="37"/>
        <v>64546224.863821089</v>
      </c>
      <c r="G664" s="795">
        <f t="shared" si="38"/>
        <v>11095814.168060225</v>
      </c>
      <c r="H664" s="796">
        <f t="shared" si="39"/>
        <v>11095814.168060225</v>
      </c>
      <c r="I664" s="793">
        <f t="shared" si="40"/>
        <v>0</v>
      </c>
      <c r="J664" s="793"/>
      <c r="K664" s="813"/>
      <c r="L664" s="797"/>
      <c r="M664" s="813"/>
      <c r="N664" s="797"/>
      <c r="O664" s="797"/>
    </row>
    <row r="665" spans="3:15">
      <c r="C665" s="789">
        <f>IF(D635="","-",+C664+1)</f>
        <v>2039</v>
      </c>
      <c r="D665" s="737">
        <f t="shared" si="36"/>
        <v>64546224.863821089</v>
      </c>
      <c r="E665" s="790">
        <f t="shared" si="41"/>
        <v>3706003.3414634145</v>
      </c>
      <c r="F665" s="737">
        <f t="shared" si="37"/>
        <v>60840221.522357672</v>
      </c>
      <c r="G665" s="795">
        <f t="shared" si="38"/>
        <v>10683359.61029668</v>
      </c>
      <c r="H665" s="796">
        <f t="shared" si="39"/>
        <v>10683359.61029668</v>
      </c>
      <c r="I665" s="793">
        <f t="shared" si="40"/>
        <v>0</v>
      </c>
      <c r="J665" s="793"/>
      <c r="K665" s="813"/>
      <c r="L665" s="797"/>
      <c r="M665" s="813"/>
      <c r="N665" s="797"/>
      <c r="O665" s="797"/>
    </row>
    <row r="666" spans="3:15">
      <c r="C666" s="789">
        <f>IF(D635="","-",+C665+1)</f>
        <v>2040</v>
      </c>
      <c r="D666" s="737">
        <f t="shared" si="36"/>
        <v>60840221.522357672</v>
      </c>
      <c r="E666" s="790">
        <f t="shared" si="41"/>
        <v>3706003.3414634145</v>
      </c>
      <c r="F666" s="737">
        <f t="shared" si="37"/>
        <v>57134218.180894256</v>
      </c>
      <c r="G666" s="795">
        <f t="shared" si="38"/>
        <v>10270905.052533137</v>
      </c>
      <c r="H666" s="796">
        <f t="shared" si="39"/>
        <v>10270905.052533137</v>
      </c>
      <c r="I666" s="793">
        <f t="shared" si="40"/>
        <v>0</v>
      </c>
      <c r="J666" s="793"/>
      <c r="K666" s="813"/>
      <c r="L666" s="797"/>
      <c r="M666" s="813"/>
      <c r="N666" s="797"/>
      <c r="O666" s="797"/>
    </row>
    <row r="667" spans="3:15">
      <c r="C667" s="789">
        <f>IF(D635="","-",+C666+1)</f>
        <v>2041</v>
      </c>
      <c r="D667" s="737">
        <f t="shared" si="36"/>
        <v>57134218.180894256</v>
      </c>
      <c r="E667" s="790">
        <f t="shared" si="41"/>
        <v>3706003.3414634145</v>
      </c>
      <c r="F667" s="737">
        <f t="shared" si="37"/>
        <v>53428214.839430839</v>
      </c>
      <c r="G667" s="795">
        <f t="shared" si="38"/>
        <v>9858450.4947695937</v>
      </c>
      <c r="H667" s="796">
        <f t="shared" si="39"/>
        <v>9858450.4947695937</v>
      </c>
      <c r="I667" s="793">
        <f t="shared" si="40"/>
        <v>0</v>
      </c>
      <c r="J667" s="793"/>
      <c r="K667" s="813"/>
      <c r="L667" s="797"/>
      <c r="M667" s="813"/>
      <c r="N667" s="797"/>
      <c r="O667" s="797"/>
    </row>
    <row r="668" spans="3:15">
      <c r="C668" s="789">
        <f>IF(D635="","-",+C667+1)</f>
        <v>2042</v>
      </c>
      <c r="D668" s="737">
        <f t="shared" si="36"/>
        <v>53428214.839430839</v>
      </c>
      <c r="E668" s="790">
        <f t="shared" si="41"/>
        <v>3706003.3414634145</v>
      </c>
      <c r="F668" s="737">
        <f t="shared" si="37"/>
        <v>49722211.497967422</v>
      </c>
      <c r="G668" s="795">
        <f t="shared" si="38"/>
        <v>9445995.9370060507</v>
      </c>
      <c r="H668" s="796">
        <f t="shared" si="39"/>
        <v>9445995.9370060507</v>
      </c>
      <c r="I668" s="793">
        <f t="shared" si="40"/>
        <v>0</v>
      </c>
      <c r="J668" s="793"/>
      <c r="K668" s="813"/>
      <c r="L668" s="797"/>
      <c r="M668" s="813"/>
      <c r="N668" s="797"/>
      <c r="O668" s="797"/>
    </row>
    <row r="669" spans="3:15">
      <c r="C669" s="789">
        <f>IF(D635="","-",+C668+1)</f>
        <v>2043</v>
      </c>
      <c r="D669" s="737">
        <f t="shared" si="36"/>
        <v>49722211.497967422</v>
      </c>
      <c r="E669" s="790">
        <f t="shared" si="41"/>
        <v>3706003.3414634145</v>
      </c>
      <c r="F669" s="737">
        <f t="shared" si="37"/>
        <v>46016208.156504005</v>
      </c>
      <c r="G669" s="791">
        <f t="shared" si="38"/>
        <v>9033541.3792425059</v>
      </c>
      <c r="H669" s="796">
        <f t="shared" si="39"/>
        <v>9033541.3792425059</v>
      </c>
      <c r="I669" s="793">
        <f t="shared" si="40"/>
        <v>0</v>
      </c>
      <c r="J669" s="793"/>
      <c r="K669" s="813"/>
      <c r="L669" s="797"/>
      <c r="M669" s="813"/>
      <c r="N669" s="797"/>
      <c r="O669" s="797"/>
    </row>
    <row r="670" spans="3:15">
      <c r="C670" s="789">
        <f>IF(D635="","-",+C669+1)</f>
        <v>2044</v>
      </c>
      <c r="D670" s="737">
        <f t="shared" si="36"/>
        <v>46016208.156504005</v>
      </c>
      <c r="E670" s="790">
        <f t="shared" si="41"/>
        <v>3706003.3414634145</v>
      </c>
      <c r="F670" s="737">
        <f t="shared" si="37"/>
        <v>42310204.815040588</v>
      </c>
      <c r="G670" s="795">
        <f t="shared" si="38"/>
        <v>8621086.8214789629</v>
      </c>
      <c r="H670" s="796">
        <f t="shared" si="39"/>
        <v>8621086.8214789629</v>
      </c>
      <c r="I670" s="793">
        <f t="shared" si="40"/>
        <v>0</v>
      </c>
      <c r="J670" s="793"/>
      <c r="K670" s="813"/>
      <c r="L670" s="797"/>
      <c r="M670" s="813"/>
      <c r="N670" s="797"/>
      <c r="O670" s="797"/>
    </row>
    <row r="671" spans="3:15">
      <c r="C671" s="789">
        <f>IF(D635="","-",+C670+1)</f>
        <v>2045</v>
      </c>
      <c r="D671" s="737">
        <f t="shared" si="36"/>
        <v>42310204.815040588</v>
      </c>
      <c r="E671" s="790">
        <f t="shared" si="41"/>
        <v>3706003.3414634145</v>
      </c>
      <c r="F671" s="737">
        <f t="shared" si="37"/>
        <v>38604201.473577172</v>
      </c>
      <c r="G671" s="795">
        <f t="shared" si="38"/>
        <v>8208632.2637154199</v>
      </c>
      <c r="H671" s="796">
        <f t="shared" si="39"/>
        <v>8208632.2637154199</v>
      </c>
      <c r="I671" s="793">
        <f t="shared" si="40"/>
        <v>0</v>
      </c>
      <c r="J671" s="793"/>
      <c r="K671" s="813"/>
      <c r="L671" s="797"/>
      <c r="M671" s="813"/>
      <c r="N671" s="797"/>
      <c r="O671" s="797"/>
    </row>
    <row r="672" spans="3:15">
      <c r="C672" s="789">
        <f>IF(D635="","-",+C671+1)</f>
        <v>2046</v>
      </c>
      <c r="D672" s="737">
        <f t="shared" si="36"/>
        <v>38604201.473577172</v>
      </c>
      <c r="E672" s="790">
        <f t="shared" si="41"/>
        <v>3706003.3414634145</v>
      </c>
      <c r="F672" s="737">
        <f t="shared" si="37"/>
        <v>34898198.132113755</v>
      </c>
      <c r="G672" s="795">
        <f t="shared" si="38"/>
        <v>7796177.7059518769</v>
      </c>
      <c r="H672" s="796">
        <f t="shared" si="39"/>
        <v>7796177.7059518769</v>
      </c>
      <c r="I672" s="793">
        <f t="shared" si="40"/>
        <v>0</v>
      </c>
      <c r="J672" s="793"/>
      <c r="K672" s="813"/>
      <c r="L672" s="797"/>
      <c r="M672" s="813"/>
      <c r="N672" s="797"/>
      <c r="O672" s="797"/>
    </row>
    <row r="673" spans="3:15">
      <c r="C673" s="789">
        <f>IF(D635="","-",+C672+1)</f>
        <v>2047</v>
      </c>
      <c r="D673" s="737">
        <f t="shared" si="36"/>
        <v>34898198.132113755</v>
      </c>
      <c r="E673" s="790">
        <f t="shared" si="41"/>
        <v>3706003.3414634145</v>
      </c>
      <c r="F673" s="737">
        <f t="shared" si="37"/>
        <v>31192194.790650342</v>
      </c>
      <c r="G673" s="795">
        <f t="shared" si="38"/>
        <v>7383723.148188333</v>
      </c>
      <c r="H673" s="796">
        <f t="shared" si="39"/>
        <v>7383723.148188333</v>
      </c>
      <c r="I673" s="793">
        <f t="shared" si="40"/>
        <v>0</v>
      </c>
      <c r="J673" s="793"/>
      <c r="K673" s="813"/>
      <c r="L673" s="797"/>
      <c r="M673" s="813"/>
      <c r="N673" s="797"/>
      <c r="O673" s="797"/>
    </row>
    <row r="674" spans="3:15">
      <c r="C674" s="789">
        <f>IF(D635="","-",+C673+1)</f>
        <v>2048</v>
      </c>
      <c r="D674" s="737">
        <f t="shared" si="36"/>
        <v>31192194.790650342</v>
      </c>
      <c r="E674" s="790">
        <f t="shared" si="41"/>
        <v>3706003.3414634145</v>
      </c>
      <c r="F674" s="737">
        <f t="shared" si="37"/>
        <v>27486191.449186929</v>
      </c>
      <c r="G674" s="795">
        <f t="shared" si="38"/>
        <v>6971268.590424791</v>
      </c>
      <c r="H674" s="796">
        <f t="shared" si="39"/>
        <v>6971268.590424791</v>
      </c>
      <c r="I674" s="793">
        <f t="shared" si="40"/>
        <v>0</v>
      </c>
      <c r="J674" s="793"/>
      <c r="K674" s="813"/>
      <c r="L674" s="797"/>
      <c r="M674" s="813"/>
      <c r="N674" s="797"/>
      <c r="O674" s="797"/>
    </row>
    <row r="675" spans="3:15">
      <c r="C675" s="789">
        <f>IF(D635="","-",+C674+1)</f>
        <v>2049</v>
      </c>
      <c r="D675" s="737">
        <f t="shared" si="36"/>
        <v>27486191.449186929</v>
      </c>
      <c r="E675" s="790">
        <f t="shared" si="41"/>
        <v>3706003.3414634145</v>
      </c>
      <c r="F675" s="737">
        <f t="shared" si="37"/>
        <v>23780188.107723515</v>
      </c>
      <c r="G675" s="795">
        <f t="shared" si="38"/>
        <v>6558814.032661248</v>
      </c>
      <c r="H675" s="796">
        <f t="shared" si="39"/>
        <v>6558814.032661248</v>
      </c>
      <c r="I675" s="793">
        <f t="shared" si="40"/>
        <v>0</v>
      </c>
      <c r="J675" s="793"/>
      <c r="K675" s="813"/>
      <c r="L675" s="797"/>
      <c r="M675" s="813"/>
      <c r="N675" s="797"/>
      <c r="O675" s="797"/>
    </row>
    <row r="676" spans="3:15">
      <c r="C676" s="789">
        <f>IF(D635="","-",+C675+1)</f>
        <v>2050</v>
      </c>
      <c r="D676" s="737">
        <f t="shared" si="36"/>
        <v>23780188.107723515</v>
      </c>
      <c r="E676" s="790">
        <f t="shared" si="41"/>
        <v>3706003.3414634145</v>
      </c>
      <c r="F676" s="737">
        <f t="shared" si="37"/>
        <v>20074184.766260102</v>
      </c>
      <c r="G676" s="795">
        <f t="shared" si="38"/>
        <v>6146359.474897705</v>
      </c>
      <c r="H676" s="796">
        <f t="shared" si="39"/>
        <v>6146359.474897705</v>
      </c>
      <c r="I676" s="793">
        <f t="shared" si="40"/>
        <v>0</v>
      </c>
      <c r="J676" s="793"/>
      <c r="K676" s="813"/>
      <c r="L676" s="797"/>
      <c r="M676" s="813"/>
      <c r="N676" s="797"/>
      <c r="O676" s="797"/>
    </row>
    <row r="677" spans="3:15">
      <c r="C677" s="789">
        <f>IF(D635="","-",+C676+1)</f>
        <v>2051</v>
      </c>
      <c r="D677" s="737">
        <f t="shared" si="36"/>
        <v>20074184.766260102</v>
      </c>
      <c r="E677" s="790">
        <f t="shared" si="41"/>
        <v>3706003.3414634145</v>
      </c>
      <c r="F677" s="737">
        <f t="shared" si="37"/>
        <v>16368181.424796687</v>
      </c>
      <c r="G677" s="795">
        <f t="shared" si="38"/>
        <v>5733904.9171341611</v>
      </c>
      <c r="H677" s="796">
        <f t="shared" si="39"/>
        <v>5733904.9171341611</v>
      </c>
      <c r="I677" s="793">
        <f t="shared" si="40"/>
        <v>0</v>
      </c>
      <c r="J677" s="793"/>
      <c r="K677" s="813"/>
      <c r="L677" s="797"/>
      <c r="M677" s="813"/>
      <c r="N677" s="797"/>
      <c r="O677" s="797"/>
    </row>
    <row r="678" spans="3:15">
      <c r="C678" s="789">
        <f>IF(D635="","-",+C677+1)</f>
        <v>2052</v>
      </c>
      <c r="D678" s="737">
        <f t="shared" si="36"/>
        <v>16368181.424796687</v>
      </c>
      <c r="E678" s="790">
        <f t="shared" si="41"/>
        <v>3706003.3414634145</v>
      </c>
      <c r="F678" s="737">
        <f t="shared" si="37"/>
        <v>12662178.083333272</v>
      </c>
      <c r="G678" s="795">
        <f t="shared" si="38"/>
        <v>5321450.3593706181</v>
      </c>
      <c r="H678" s="796">
        <f t="shared" si="39"/>
        <v>5321450.3593706181</v>
      </c>
      <c r="I678" s="793">
        <f t="shared" si="40"/>
        <v>0</v>
      </c>
      <c r="J678" s="793"/>
      <c r="K678" s="813"/>
      <c r="L678" s="797"/>
      <c r="M678" s="813"/>
      <c r="N678" s="797"/>
      <c r="O678" s="797"/>
    </row>
    <row r="679" spans="3:15">
      <c r="C679" s="789">
        <f>IF(D635="","-",+C678+1)</f>
        <v>2053</v>
      </c>
      <c r="D679" s="737">
        <f t="shared" si="36"/>
        <v>12662178.083333272</v>
      </c>
      <c r="E679" s="790">
        <f t="shared" si="41"/>
        <v>3706003.3414634145</v>
      </c>
      <c r="F679" s="737">
        <f t="shared" si="37"/>
        <v>8956174.7418698575</v>
      </c>
      <c r="G679" s="795">
        <f t="shared" si="38"/>
        <v>4908995.8016070751</v>
      </c>
      <c r="H679" s="796">
        <f t="shared" si="39"/>
        <v>4908995.8016070751</v>
      </c>
      <c r="I679" s="793">
        <f t="shared" si="40"/>
        <v>0</v>
      </c>
      <c r="J679" s="793"/>
      <c r="K679" s="813"/>
      <c r="L679" s="797"/>
      <c r="M679" s="813"/>
      <c r="N679" s="797"/>
      <c r="O679" s="797"/>
    </row>
    <row r="680" spans="3:15">
      <c r="C680" s="789">
        <f>IF(D635="","-",+C679+1)</f>
        <v>2054</v>
      </c>
      <c r="D680" s="737">
        <f t="shared" si="36"/>
        <v>8956174.7418698575</v>
      </c>
      <c r="E680" s="790">
        <f t="shared" si="41"/>
        <v>3706003.3414634145</v>
      </c>
      <c r="F680" s="737">
        <f t="shared" si="37"/>
        <v>5250171.4004064426</v>
      </c>
      <c r="G680" s="795">
        <f t="shared" si="38"/>
        <v>4496541.2438435322</v>
      </c>
      <c r="H680" s="796">
        <f t="shared" si="39"/>
        <v>4496541.2438435322</v>
      </c>
      <c r="I680" s="793">
        <f t="shared" si="40"/>
        <v>0</v>
      </c>
      <c r="J680" s="793"/>
      <c r="K680" s="813"/>
      <c r="L680" s="797"/>
      <c r="M680" s="813"/>
      <c r="N680" s="797"/>
      <c r="O680" s="797"/>
    </row>
    <row r="681" spans="3:15">
      <c r="C681" s="789">
        <f>IF(D635="","-",+C680+1)</f>
        <v>2055</v>
      </c>
      <c r="D681" s="737">
        <f t="shared" si="36"/>
        <v>5250171.4004064426</v>
      </c>
      <c r="E681" s="790">
        <f t="shared" si="41"/>
        <v>3706003.3414634145</v>
      </c>
      <c r="F681" s="737">
        <f t="shared" si="37"/>
        <v>1544168.0589430281</v>
      </c>
      <c r="G681" s="795">
        <f t="shared" si="38"/>
        <v>4084086.6860799887</v>
      </c>
      <c r="H681" s="796">
        <f t="shared" si="39"/>
        <v>4084086.6860799887</v>
      </c>
      <c r="I681" s="793">
        <f t="shared" si="40"/>
        <v>0</v>
      </c>
      <c r="J681" s="793"/>
      <c r="K681" s="813"/>
      <c r="L681" s="797"/>
      <c r="M681" s="813"/>
      <c r="N681" s="797"/>
      <c r="O681" s="797"/>
    </row>
    <row r="682" spans="3:15">
      <c r="C682" s="789">
        <f>IF(D635="","-",+C681+1)</f>
        <v>2056</v>
      </c>
      <c r="D682" s="737">
        <f t="shared" si="36"/>
        <v>1544168.0589430281</v>
      </c>
      <c r="E682" s="790">
        <f t="shared" si="41"/>
        <v>1544168.0589430281</v>
      </c>
      <c r="F682" s="737">
        <f t="shared" si="37"/>
        <v>0</v>
      </c>
      <c r="G682" s="795">
        <f t="shared" si="38"/>
        <v>1630096.0918104295</v>
      </c>
      <c r="H682" s="796">
        <f t="shared" si="39"/>
        <v>1630096.0918104295</v>
      </c>
      <c r="I682" s="793">
        <f t="shared" si="40"/>
        <v>0</v>
      </c>
      <c r="J682" s="793"/>
      <c r="K682" s="813"/>
      <c r="L682" s="797"/>
      <c r="M682" s="813"/>
      <c r="N682" s="797"/>
      <c r="O682" s="797"/>
    </row>
    <row r="683" spans="3:15">
      <c r="C683" s="789">
        <f>IF(D635="","-",+C682+1)</f>
        <v>2057</v>
      </c>
      <c r="D683" s="737">
        <f t="shared" si="36"/>
        <v>0</v>
      </c>
      <c r="E683" s="790">
        <f t="shared" si="41"/>
        <v>0</v>
      </c>
      <c r="F683" s="737">
        <f t="shared" si="37"/>
        <v>0</v>
      </c>
      <c r="G683" s="795">
        <f t="shared" si="38"/>
        <v>0</v>
      </c>
      <c r="H683" s="796">
        <f t="shared" si="39"/>
        <v>0</v>
      </c>
      <c r="I683" s="793">
        <f t="shared" si="40"/>
        <v>0</v>
      </c>
      <c r="J683" s="793"/>
      <c r="K683" s="813"/>
      <c r="L683" s="797"/>
      <c r="M683" s="813"/>
      <c r="N683" s="797"/>
      <c r="O683" s="797"/>
    </row>
    <row r="684" spans="3:15">
      <c r="C684" s="789">
        <f>IF(D635="","-",+C683+1)</f>
        <v>2058</v>
      </c>
      <c r="D684" s="737">
        <f t="shared" si="36"/>
        <v>0</v>
      </c>
      <c r="E684" s="790">
        <f t="shared" si="41"/>
        <v>0</v>
      </c>
      <c r="F684" s="737">
        <f t="shared" si="37"/>
        <v>0</v>
      </c>
      <c r="G684" s="795">
        <f t="shared" si="38"/>
        <v>0</v>
      </c>
      <c r="H684" s="796">
        <f t="shared" si="39"/>
        <v>0</v>
      </c>
      <c r="I684" s="793">
        <f t="shared" si="40"/>
        <v>0</v>
      </c>
      <c r="J684" s="793"/>
      <c r="K684" s="813"/>
      <c r="L684" s="797"/>
      <c r="M684" s="813"/>
      <c r="N684" s="797"/>
      <c r="O684" s="797"/>
    </row>
    <row r="685" spans="3:15">
      <c r="C685" s="789">
        <f>IF(D635="","-",+C684+1)</f>
        <v>2059</v>
      </c>
      <c r="D685" s="737">
        <f t="shared" si="36"/>
        <v>0</v>
      </c>
      <c r="E685" s="790">
        <f t="shared" si="41"/>
        <v>0</v>
      </c>
      <c r="F685" s="737">
        <f t="shared" si="37"/>
        <v>0</v>
      </c>
      <c r="G685" s="795">
        <f t="shared" si="38"/>
        <v>0</v>
      </c>
      <c r="H685" s="796">
        <f t="shared" si="39"/>
        <v>0</v>
      </c>
      <c r="I685" s="793">
        <f t="shared" si="40"/>
        <v>0</v>
      </c>
      <c r="J685" s="793"/>
      <c r="K685" s="813"/>
      <c r="L685" s="797"/>
      <c r="M685" s="813"/>
      <c r="N685" s="797"/>
      <c r="O685" s="797"/>
    </row>
    <row r="686" spans="3:15">
      <c r="C686" s="789">
        <f>IF(D635="","-",+C685+1)</f>
        <v>2060</v>
      </c>
      <c r="D686" s="737">
        <f t="shared" si="36"/>
        <v>0</v>
      </c>
      <c r="E686" s="790">
        <f t="shared" si="41"/>
        <v>0</v>
      </c>
      <c r="F686" s="737">
        <f t="shared" si="37"/>
        <v>0</v>
      </c>
      <c r="G686" s="795">
        <f t="shared" si="38"/>
        <v>0</v>
      </c>
      <c r="H686" s="796">
        <f t="shared" si="39"/>
        <v>0</v>
      </c>
      <c r="I686" s="793">
        <f t="shared" si="40"/>
        <v>0</v>
      </c>
      <c r="J686" s="793"/>
      <c r="K686" s="813"/>
      <c r="L686" s="797"/>
      <c r="M686" s="813"/>
      <c r="N686" s="797"/>
      <c r="O686" s="797"/>
    </row>
    <row r="687" spans="3:15">
      <c r="C687" s="789">
        <f>IF(D635="","-",+C686+1)</f>
        <v>2061</v>
      </c>
      <c r="D687" s="737">
        <f t="shared" si="36"/>
        <v>0</v>
      </c>
      <c r="E687" s="790">
        <f t="shared" si="41"/>
        <v>0</v>
      </c>
      <c r="F687" s="737">
        <f t="shared" si="37"/>
        <v>0</v>
      </c>
      <c r="G687" s="795">
        <f t="shared" si="38"/>
        <v>0</v>
      </c>
      <c r="H687" s="796">
        <f t="shared" si="39"/>
        <v>0</v>
      </c>
      <c r="I687" s="793">
        <f t="shared" si="40"/>
        <v>0</v>
      </c>
      <c r="J687" s="793"/>
      <c r="K687" s="813"/>
      <c r="L687" s="797"/>
      <c r="M687" s="813"/>
      <c r="N687" s="797"/>
      <c r="O687" s="797"/>
    </row>
    <row r="688" spans="3:15">
      <c r="C688" s="789">
        <f>IF(D635="","-",+C687+1)</f>
        <v>2062</v>
      </c>
      <c r="D688" s="737">
        <f t="shared" si="36"/>
        <v>0</v>
      </c>
      <c r="E688" s="790">
        <f t="shared" si="41"/>
        <v>0</v>
      </c>
      <c r="F688" s="737">
        <f t="shared" si="37"/>
        <v>0</v>
      </c>
      <c r="G688" s="795">
        <f t="shared" si="38"/>
        <v>0</v>
      </c>
      <c r="H688" s="796">
        <f t="shared" si="39"/>
        <v>0</v>
      </c>
      <c r="I688" s="793">
        <f t="shared" si="40"/>
        <v>0</v>
      </c>
      <c r="J688" s="793"/>
      <c r="K688" s="813"/>
      <c r="L688" s="797"/>
      <c r="M688" s="813"/>
      <c r="N688" s="797"/>
      <c r="O688" s="797"/>
    </row>
    <row r="689" spans="3:15">
      <c r="C689" s="789">
        <f>IF(D635="","-",+C688+1)</f>
        <v>2063</v>
      </c>
      <c r="D689" s="737">
        <f t="shared" si="36"/>
        <v>0</v>
      </c>
      <c r="E689" s="790">
        <f t="shared" si="41"/>
        <v>0</v>
      </c>
      <c r="F689" s="737">
        <f t="shared" si="37"/>
        <v>0</v>
      </c>
      <c r="G689" s="795">
        <f t="shared" si="38"/>
        <v>0</v>
      </c>
      <c r="H689" s="796">
        <f t="shared" si="39"/>
        <v>0</v>
      </c>
      <c r="I689" s="793">
        <f t="shared" si="40"/>
        <v>0</v>
      </c>
      <c r="J689" s="793"/>
      <c r="K689" s="813"/>
      <c r="L689" s="797"/>
      <c r="M689" s="813"/>
      <c r="N689" s="797"/>
      <c r="O689" s="797"/>
    </row>
    <row r="690" spans="3:15">
      <c r="C690" s="789">
        <f>IF(D635="","-",+C689+1)</f>
        <v>2064</v>
      </c>
      <c r="D690" s="737">
        <f t="shared" si="36"/>
        <v>0</v>
      </c>
      <c r="E690" s="790">
        <f t="shared" si="41"/>
        <v>0</v>
      </c>
      <c r="F690" s="737">
        <f t="shared" si="37"/>
        <v>0</v>
      </c>
      <c r="G690" s="795">
        <f t="shared" si="38"/>
        <v>0</v>
      </c>
      <c r="H690" s="796">
        <f t="shared" si="39"/>
        <v>0</v>
      </c>
      <c r="I690" s="793">
        <f t="shared" si="40"/>
        <v>0</v>
      </c>
      <c r="J690" s="793"/>
      <c r="K690" s="813"/>
      <c r="L690" s="797"/>
      <c r="M690" s="813"/>
      <c r="N690" s="797"/>
      <c r="O690" s="797"/>
    </row>
    <row r="691" spans="3:15">
      <c r="C691" s="789">
        <f>IF(D635="","-",+C690+1)</f>
        <v>2065</v>
      </c>
      <c r="D691" s="737">
        <f t="shared" si="36"/>
        <v>0</v>
      </c>
      <c r="E691" s="790">
        <f t="shared" si="41"/>
        <v>0</v>
      </c>
      <c r="F691" s="737">
        <f t="shared" si="37"/>
        <v>0</v>
      </c>
      <c r="G691" s="795">
        <f t="shared" si="38"/>
        <v>0</v>
      </c>
      <c r="H691" s="796">
        <f t="shared" si="39"/>
        <v>0</v>
      </c>
      <c r="I691" s="793">
        <f t="shared" si="40"/>
        <v>0</v>
      </c>
      <c r="J691" s="793"/>
      <c r="K691" s="813"/>
      <c r="L691" s="797"/>
      <c r="M691" s="813"/>
      <c r="N691" s="797"/>
      <c r="O691" s="797"/>
    </row>
    <row r="692" spans="3:15">
      <c r="C692" s="789">
        <f>IF(D635="","-",+C691+1)</f>
        <v>2066</v>
      </c>
      <c r="D692" s="737">
        <f t="shared" si="36"/>
        <v>0</v>
      </c>
      <c r="E692" s="790">
        <f t="shared" si="41"/>
        <v>0</v>
      </c>
      <c r="F692" s="737">
        <f t="shared" si="37"/>
        <v>0</v>
      </c>
      <c r="G692" s="795">
        <f t="shared" si="38"/>
        <v>0</v>
      </c>
      <c r="H692" s="796">
        <f t="shared" si="39"/>
        <v>0</v>
      </c>
      <c r="I692" s="793">
        <f t="shared" si="40"/>
        <v>0</v>
      </c>
      <c r="J692" s="793"/>
      <c r="K692" s="813"/>
      <c r="L692" s="797"/>
      <c r="M692" s="813"/>
      <c r="N692" s="797"/>
      <c r="O692" s="797"/>
    </row>
    <row r="693" spans="3:15">
      <c r="C693" s="789">
        <f>IF(D635="","-",+C692+1)</f>
        <v>2067</v>
      </c>
      <c r="D693" s="737">
        <f t="shared" si="36"/>
        <v>0</v>
      </c>
      <c r="E693" s="790">
        <f t="shared" si="41"/>
        <v>0</v>
      </c>
      <c r="F693" s="737">
        <f t="shared" si="37"/>
        <v>0</v>
      </c>
      <c r="G693" s="795">
        <f t="shared" si="38"/>
        <v>0</v>
      </c>
      <c r="H693" s="796">
        <f t="shared" si="39"/>
        <v>0</v>
      </c>
      <c r="I693" s="793">
        <f t="shared" si="40"/>
        <v>0</v>
      </c>
      <c r="J693" s="793"/>
      <c r="K693" s="813"/>
      <c r="L693" s="797"/>
      <c r="M693" s="813"/>
      <c r="N693" s="797"/>
      <c r="O693" s="797"/>
    </row>
    <row r="694" spans="3:15">
      <c r="C694" s="789">
        <f>IF(D635="","-",+C693+1)</f>
        <v>2068</v>
      </c>
      <c r="D694" s="737">
        <f t="shared" si="36"/>
        <v>0</v>
      </c>
      <c r="E694" s="790">
        <f t="shared" si="41"/>
        <v>0</v>
      </c>
      <c r="F694" s="737">
        <f t="shared" si="37"/>
        <v>0</v>
      </c>
      <c r="G694" s="795">
        <f t="shared" si="38"/>
        <v>0</v>
      </c>
      <c r="H694" s="796">
        <f t="shared" si="39"/>
        <v>0</v>
      </c>
      <c r="I694" s="793">
        <f t="shared" si="40"/>
        <v>0</v>
      </c>
      <c r="J694" s="793"/>
      <c r="K694" s="813"/>
      <c r="L694" s="797"/>
      <c r="M694" s="813"/>
      <c r="N694" s="797"/>
      <c r="O694" s="797"/>
    </row>
    <row r="695" spans="3:15">
      <c r="C695" s="789">
        <f>IF(D635="","-",+C694+1)</f>
        <v>2069</v>
      </c>
      <c r="D695" s="737">
        <f t="shared" si="36"/>
        <v>0</v>
      </c>
      <c r="E695" s="790">
        <f t="shared" si="41"/>
        <v>0</v>
      </c>
      <c r="F695" s="737">
        <f t="shared" si="37"/>
        <v>0</v>
      </c>
      <c r="G695" s="795">
        <f t="shared" si="38"/>
        <v>0</v>
      </c>
      <c r="H695" s="796">
        <f t="shared" si="39"/>
        <v>0</v>
      </c>
      <c r="I695" s="793">
        <f t="shared" si="40"/>
        <v>0</v>
      </c>
      <c r="J695" s="793"/>
      <c r="K695" s="813"/>
      <c r="L695" s="797"/>
      <c r="M695" s="813"/>
      <c r="N695" s="797"/>
      <c r="O695" s="797"/>
    </row>
    <row r="696" spans="3:15">
      <c r="C696" s="789">
        <f>IF(D635="","-",+C695+1)</f>
        <v>2070</v>
      </c>
      <c r="D696" s="737">
        <f t="shared" si="36"/>
        <v>0</v>
      </c>
      <c r="E696" s="790">
        <f t="shared" si="41"/>
        <v>0</v>
      </c>
      <c r="F696" s="737">
        <f t="shared" si="37"/>
        <v>0</v>
      </c>
      <c r="G696" s="795">
        <f t="shared" si="38"/>
        <v>0</v>
      </c>
      <c r="H696" s="796">
        <f t="shared" si="39"/>
        <v>0</v>
      </c>
      <c r="I696" s="793">
        <f t="shared" si="40"/>
        <v>0</v>
      </c>
      <c r="J696" s="793"/>
      <c r="K696" s="813"/>
      <c r="L696" s="797"/>
      <c r="M696" s="813"/>
      <c r="N696" s="797"/>
      <c r="O696" s="797"/>
    </row>
    <row r="697" spans="3:15">
      <c r="C697" s="789">
        <f>IF(D635="","-",+C696+1)</f>
        <v>2071</v>
      </c>
      <c r="D697" s="737">
        <f t="shared" si="36"/>
        <v>0</v>
      </c>
      <c r="E697" s="790">
        <f t="shared" si="41"/>
        <v>0</v>
      </c>
      <c r="F697" s="737">
        <f t="shared" si="37"/>
        <v>0</v>
      </c>
      <c r="G697" s="795">
        <f t="shared" si="38"/>
        <v>0</v>
      </c>
      <c r="H697" s="796">
        <f t="shared" si="39"/>
        <v>0</v>
      </c>
      <c r="I697" s="793">
        <f t="shared" si="40"/>
        <v>0</v>
      </c>
      <c r="J697" s="793"/>
      <c r="K697" s="813"/>
      <c r="L697" s="797"/>
      <c r="M697" s="813"/>
      <c r="N697" s="797"/>
      <c r="O697" s="797"/>
    </row>
    <row r="698" spans="3:15">
      <c r="C698" s="789">
        <f>IF(D635="","-",+C697+1)</f>
        <v>2072</v>
      </c>
      <c r="D698" s="737">
        <f t="shared" si="36"/>
        <v>0</v>
      </c>
      <c r="E698" s="790">
        <f t="shared" si="41"/>
        <v>0</v>
      </c>
      <c r="F698" s="737">
        <f t="shared" si="37"/>
        <v>0</v>
      </c>
      <c r="G698" s="795">
        <f t="shared" si="38"/>
        <v>0</v>
      </c>
      <c r="H698" s="796">
        <f t="shared" si="39"/>
        <v>0</v>
      </c>
      <c r="I698" s="793">
        <f t="shared" si="40"/>
        <v>0</v>
      </c>
      <c r="J698" s="793"/>
      <c r="K698" s="813"/>
      <c r="L698" s="797"/>
      <c r="M698" s="813"/>
      <c r="N698" s="797"/>
      <c r="O698" s="797"/>
    </row>
    <row r="699" spans="3:15">
      <c r="C699" s="789">
        <f>IF(D635="","-",+C698+1)</f>
        <v>2073</v>
      </c>
      <c r="D699" s="737">
        <f t="shared" si="36"/>
        <v>0</v>
      </c>
      <c r="E699" s="790">
        <f t="shared" si="41"/>
        <v>0</v>
      </c>
      <c r="F699" s="737">
        <f t="shared" si="37"/>
        <v>0</v>
      </c>
      <c r="G699" s="795">
        <f t="shared" si="38"/>
        <v>0</v>
      </c>
      <c r="H699" s="796">
        <f t="shared" si="39"/>
        <v>0</v>
      </c>
      <c r="I699" s="793">
        <f t="shared" si="40"/>
        <v>0</v>
      </c>
      <c r="J699" s="793"/>
      <c r="K699" s="813"/>
      <c r="L699" s="797"/>
      <c r="M699" s="813"/>
      <c r="N699" s="797"/>
      <c r="O699" s="797"/>
    </row>
    <row r="700" spans="3:15" ht="13.5" thickBot="1">
      <c r="C700" s="799">
        <f>IF(D635="","-",+C699+1)</f>
        <v>2074</v>
      </c>
      <c r="D700" s="800">
        <f t="shared" si="36"/>
        <v>0</v>
      </c>
      <c r="E700" s="801">
        <f t="shared" si="41"/>
        <v>0</v>
      </c>
      <c r="F700" s="800">
        <f t="shared" si="37"/>
        <v>0</v>
      </c>
      <c r="G700" s="802">
        <f t="shared" si="38"/>
        <v>0</v>
      </c>
      <c r="H700" s="802">
        <f t="shared" si="39"/>
        <v>0</v>
      </c>
      <c r="I700" s="803">
        <f t="shared" si="40"/>
        <v>0</v>
      </c>
      <c r="J700" s="793"/>
      <c r="K700" s="814"/>
      <c r="L700" s="804"/>
      <c r="M700" s="814"/>
      <c r="N700" s="804"/>
      <c r="O700" s="804"/>
    </row>
    <row r="701" spans="3:15">
      <c r="C701" s="737" t="s">
        <v>83</v>
      </c>
      <c r="D701" s="731"/>
      <c r="E701" s="731">
        <f>SUM(E641:E700)</f>
        <v>151946137</v>
      </c>
      <c r="F701" s="731"/>
      <c r="G701" s="731">
        <f>SUM(G641:G700)</f>
        <v>505660291.49538487</v>
      </c>
      <c r="H701" s="731">
        <f>SUM(H641:H700)</f>
        <v>505660291.49538487</v>
      </c>
      <c r="I701" s="731">
        <f>SUM(I641:I700)</f>
        <v>0</v>
      </c>
      <c r="J701" s="731"/>
      <c r="K701" s="731"/>
      <c r="L701" s="731"/>
      <c r="M701" s="731"/>
      <c r="N701" s="731"/>
      <c r="O701" s="314"/>
    </row>
    <row r="702" spans="3:15">
      <c r="D702" s="539"/>
      <c r="E702" s="314"/>
      <c r="F702" s="314"/>
      <c r="G702" s="314"/>
      <c r="H702" s="709"/>
      <c r="I702" s="709"/>
      <c r="J702" s="731"/>
      <c r="K702" s="709"/>
      <c r="L702" s="709"/>
      <c r="M702" s="709"/>
      <c r="N702" s="709"/>
      <c r="O702" s="314"/>
    </row>
    <row r="703" spans="3:15">
      <c r="C703" s="314" t="s">
        <v>13</v>
      </c>
      <c r="D703" s="539"/>
      <c r="E703" s="314"/>
      <c r="F703" s="314"/>
      <c r="G703" s="314"/>
      <c r="H703" s="709"/>
      <c r="I703" s="709"/>
      <c r="J703" s="731"/>
      <c r="K703" s="709"/>
      <c r="L703" s="709"/>
      <c r="M703" s="709"/>
      <c r="N703" s="709"/>
      <c r="O703" s="314"/>
    </row>
    <row r="704" spans="3:15">
      <c r="C704" s="314"/>
      <c r="D704" s="539"/>
      <c r="E704" s="314"/>
      <c r="F704" s="314"/>
      <c r="G704" s="314"/>
      <c r="H704" s="709"/>
      <c r="I704" s="709"/>
      <c r="J704" s="731"/>
      <c r="K704" s="709"/>
      <c r="L704" s="709"/>
      <c r="M704" s="709"/>
      <c r="N704" s="709"/>
      <c r="O704" s="314"/>
    </row>
    <row r="705" spans="1:16">
      <c r="C705" s="750" t="s">
        <v>14</v>
      </c>
      <c r="D705" s="737"/>
      <c r="E705" s="737"/>
      <c r="F705" s="737"/>
      <c r="G705" s="731"/>
      <c r="H705" s="731"/>
      <c r="I705" s="805"/>
      <c r="J705" s="805"/>
      <c r="K705" s="805"/>
      <c r="L705" s="805"/>
      <c r="M705" s="805"/>
      <c r="N705" s="805"/>
      <c r="O705" s="314"/>
    </row>
    <row r="706" spans="1:16">
      <c r="C706" s="736" t="s">
        <v>263</v>
      </c>
      <c r="D706" s="737"/>
      <c r="E706" s="737"/>
      <c r="F706" s="737"/>
      <c r="G706" s="731"/>
      <c r="H706" s="731"/>
      <c r="I706" s="805"/>
      <c r="J706" s="805"/>
      <c r="K706" s="805"/>
      <c r="L706" s="805"/>
      <c r="M706" s="805"/>
      <c r="N706" s="805"/>
      <c r="O706" s="314"/>
    </row>
    <row r="707" spans="1:16">
      <c r="C707" s="736" t="s">
        <v>84</v>
      </c>
      <c r="D707" s="737"/>
      <c r="E707" s="737"/>
      <c r="F707" s="737"/>
      <c r="G707" s="731"/>
      <c r="H707" s="731"/>
      <c r="I707" s="805"/>
      <c r="J707" s="805"/>
      <c r="K707" s="805"/>
      <c r="L707" s="805"/>
      <c r="M707" s="805"/>
      <c r="N707" s="805"/>
      <c r="O707" s="314"/>
    </row>
    <row r="708" spans="1:16">
      <c r="C708" s="736"/>
      <c r="D708" s="737"/>
      <c r="E708" s="737"/>
      <c r="F708" s="737"/>
      <c r="G708" s="731"/>
      <c r="H708" s="731"/>
      <c r="I708" s="805"/>
      <c r="J708" s="805"/>
      <c r="K708" s="805"/>
      <c r="L708" s="805"/>
      <c r="M708" s="805"/>
      <c r="N708" s="805"/>
      <c r="O708" s="314"/>
    </row>
    <row r="709" spans="1:16">
      <c r="C709" s="1568" t="s">
        <v>6</v>
      </c>
      <c r="D709" s="1568"/>
      <c r="E709" s="1568"/>
      <c r="F709" s="1568"/>
      <c r="G709" s="1568"/>
      <c r="H709" s="1568"/>
      <c r="I709" s="1568"/>
      <c r="J709" s="1568"/>
      <c r="K709" s="1568"/>
      <c r="L709" s="1568"/>
      <c r="M709" s="1568"/>
      <c r="N709" s="1568"/>
      <c r="O709" s="1568"/>
    </row>
    <row r="710" spans="1:16">
      <c r="C710" s="1568"/>
      <c r="D710" s="1568"/>
      <c r="E710" s="1568"/>
      <c r="F710" s="1568"/>
      <c r="G710" s="1568"/>
      <c r="H710" s="1568"/>
      <c r="I710" s="1568"/>
      <c r="J710" s="1568"/>
      <c r="K710" s="1568"/>
      <c r="L710" s="1568"/>
      <c r="M710" s="1568"/>
      <c r="N710" s="1568"/>
      <c r="O710" s="1568"/>
    </row>
    <row r="711" spans="1:16">
      <c r="C711" s="736"/>
      <c r="D711" s="737"/>
      <c r="E711" s="737"/>
      <c r="F711" s="737"/>
      <c r="G711" s="731"/>
      <c r="H711" s="731"/>
    </row>
    <row r="712" spans="1:16" ht="20.25">
      <c r="A712" s="738" t="str">
        <f>""&amp;A636&amp;" Worksheet J -  ATRR PROJECTED Calculation for PJM Projects Charged to Benefiting Zones"</f>
        <v xml:space="preserve"> Worksheet J -  ATRR PROJECTED Calculation for PJM Projects Charged to Benefiting Zones</v>
      </c>
      <c r="B712" s="348"/>
      <c r="C712" s="726"/>
      <c r="D712" s="539"/>
      <c r="E712" s="314"/>
      <c r="F712" s="708"/>
      <c r="G712" s="314"/>
      <c r="H712" s="709"/>
      <c r="K712" s="565"/>
      <c r="L712" s="565"/>
      <c r="M712" s="565"/>
      <c r="N712" s="654" t="str">
        <f>"Page "&amp;SUM(P$8:P712)&amp;" of "</f>
        <v xml:space="preserve">Page 9 of </v>
      </c>
      <c r="O712" s="655">
        <f>COUNT(P$8:P$56653)</f>
        <v>12</v>
      </c>
      <c r="P712" s="739">
        <v>1</v>
      </c>
    </row>
    <row r="713" spans="1:16">
      <c r="B713" s="348"/>
      <c r="C713" s="314"/>
      <c r="D713" s="539"/>
      <c r="E713" s="314"/>
      <c r="F713" s="314"/>
      <c r="G713" s="314"/>
      <c r="H713" s="709"/>
      <c r="I713" s="314"/>
      <c r="J713" s="427"/>
      <c r="K713" s="314"/>
      <c r="L713" s="314"/>
      <c r="M713" s="314"/>
      <c r="N713" s="314"/>
      <c r="O713" s="314"/>
      <c r="P713" s="427"/>
    </row>
    <row r="714" spans="1:16" ht="18">
      <c r="B714" s="658" t="s">
        <v>466</v>
      </c>
      <c r="C714" s="740" t="s">
        <v>85</v>
      </c>
      <c r="D714" s="539"/>
      <c r="E714" s="314"/>
      <c r="F714" s="314"/>
      <c r="G714" s="314"/>
      <c r="H714" s="709"/>
      <c r="I714" s="709"/>
      <c r="J714" s="731"/>
      <c r="K714" s="709"/>
      <c r="L714" s="709"/>
      <c r="M714" s="709"/>
      <c r="N714" s="709"/>
      <c r="O714" s="314"/>
    </row>
    <row r="715" spans="1:16" ht="18.75">
      <c r="B715" s="658"/>
      <c r="C715" s="657"/>
      <c r="D715" s="539"/>
      <c r="E715" s="314"/>
      <c r="F715" s="314"/>
      <c r="G715" s="314"/>
      <c r="H715" s="709"/>
      <c r="I715" s="709"/>
      <c r="J715" s="731"/>
      <c r="K715" s="709"/>
      <c r="L715" s="709"/>
      <c r="M715" s="709"/>
      <c r="N715" s="709"/>
      <c r="O715" s="314"/>
    </row>
    <row r="716" spans="1:16" ht="18.75">
      <c r="B716" s="658"/>
      <c r="C716" s="657" t="s">
        <v>86</v>
      </c>
      <c r="D716" s="539"/>
      <c r="E716" s="314"/>
      <c r="F716" s="314"/>
      <c r="G716" s="314"/>
      <c r="H716" s="709"/>
      <c r="I716" s="709"/>
      <c r="J716" s="731"/>
      <c r="K716" s="709"/>
      <c r="L716" s="709"/>
      <c r="M716" s="709"/>
      <c r="N716" s="709"/>
      <c r="O716" s="314"/>
    </row>
    <row r="717" spans="1:16" ht="15.75" thickBot="1">
      <c r="C717" s="240"/>
      <c r="D717" s="539"/>
      <c r="E717" s="314"/>
      <c r="F717" s="314"/>
      <c r="G717" s="314"/>
      <c r="H717" s="709"/>
      <c r="I717" s="709"/>
      <c r="J717" s="731"/>
      <c r="K717" s="709"/>
      <c r="L717" s="709"/>
      <c r="M717" s="709"/>
      <c r="N717" s="709"/>
      <c r="O717" s="314"/>
    </row>
    <row r="718" spans="1:16" ht="15.75">
      <c r="C718" s="660" t="s">
        <v>87</v>
      </c>
      <c r="D718" s="539"/>
      <c r="E718" s="314"/>
      <c r="F718" s="314"/>
      <c r="G718" s="807"/>
      <c r="H718" s="314" t="s">
        <v>66</v>
      </c>
      <c r="I718" s="314"/>
      <c r="J718" s="427"/>
      <c r="K718" s="741" t="s">
        <v>91</v>
      </c>
      <c r="L718" s="742"/>
      <c r="M718" s="743"/>
      <c r="N718" s="744">
        <f>IF(I724=0,0,VLOOKUP(I724,C731:O790,5))</f>
        <v>512486.22647119104</v>
      </c>
      <c r="O718" s="314"/>
    </row>
    <row r="719" spans="1:16" ht="15.75">
      <c r="C719" s="660"/>
      <c r="D719" s="539"/>
      <c r="E719" s="314"/>
      <c r="F719" s="314"/>
      <c r="G719" s="314"/>
      <c r="H719" s="745"/>
      <c r="I719" s="745"/>
      <c r="J719" s="746"/>
      <c r="K719" s="747" t="s">
        <v>92</v>
      </c>
      <c r="L719" s="748"/>
      <c r="M719" s="427"/>
      <c r="N719" s="749">
        <f>IF(I724=0,0,VLOOKUP(I724,C731:O790,6))</f>
        <v>512486.22647119104</v>
      </c>
      <c r="O719" s="314"/>
    </row>
    <row r="720" spans="1:16" ht="13.5" thickBot="1">
      <c r="C720" s="750" t="s">
        <v>88</v>
      </c>
      <c r="D720" s="1567" t="s">
        <v>818</v>
      </c>
      <c r="E720" s="1567"/>
      <c r="F720" s="1567"/>
      <c r="G720" s="1567"/>
      <c r="H720" s="1567"/>
      <c r="I720" s="1567"/>
      <c r="J720" s="731"/>
      <c r="K720" s="751" t="s">
        <v>230</v>
      </c>
      <c r="L720" s="752"/>
      <c r="M720" s="752"/>
      <c r="N720" s="753">
        <f>+N719-N718</f>
        <v>0</v>
      </c>
      <c r="O720" s="314"/>
    </row>
    <row r="721" spans="2:15">
      <c r="C721" s="754"/>
      <c r="D721" s="755"/>
      <c r="E721" s="735"/>
      <c r="F721" s="735"/>
      <c r="G721" s="756"/>
      <c r="H721" s="709"/>
      <c r="I721" s="709"/>
      <c r="J721" s="731"/>
      <c r="K721" s="709"/>
      <c r="L721" s="709"/>
      <c r="M721" s="709"/>
      <c r="N721" s="709"/>
      <c r="O721" s="314"/>
    </row>
    <row r="722" spans="2:15" ht="13.5" thickBot="1">
      <c r="C722" s="757"/>
      <c r="D722" s="758"/>
      <c r="E722" s="756"/>
      <c r="F722" s="756"/>
      <c r="G722" s="756"/>
      <c r="H722" s="756"/>
      <c r="I722" s="756"/>
      <c r="J722" s="759"/>
      <c r="K722" s="756"/>
      <c r="L722" s="756"/>
      <c r="M722" s="756"/>
      <c r="N722" s="756"/>
      <c r="O722" s="348"/>
    </row>
    <row r="723" spans="2:15" ht="13.5" thickBot="1">
      <c r="C723" s="760" t="s">
        <v>89</v>
      </c>
      <c r="D723" s="761"/>
      <c r="E723" s="761"/>
      <c r="F723" s="761"/>
      <c r="G723" s="761"/>
      <c r="H723" s="761"/>
      <c r="I723" s="762"/>
      <c r="J723" s="763"/>
      <c r="K723" s="314"/>
      <c r="L723" s="314"/>
      <c r="M723" s="314"/>
      <c r="N723" s="314"/>
      <c r="O723" s="764"/>
    </row>
    <row r="724" spans="2:15" ht="15">
      <c r="C724" s="765" t="s">
        <v>67</v>
      </c>
      <c r="D724" s="809">
        <v>4358345</v>
      </c>
      <c r="E724" s="726" t="s">
        <v>68</v>
      </c>
      <c r="G724" s="766"/>
      <c r="H724" s="766"/>
      <c r="I724" s="767">
        <f>$L$26</f>
        <v>2022</v>
      </c>
      <c r="J724" s="555"/>
      <c r="K724" s="1569" t="s">
        <v>239</v>
      </c>
      <c r="L724" s="1569"/>
      <c r="M724" s="1569"/>
      <c r="N724" s="1569"/>
      <c r="O724" s="1569"/>
    </row>
    <row r="725" spans="2:15">
      <c r="C725" s="765" t="s">
        <v>70</v>
      </c>
      <c r="D725" s="810">
        <v>2015</v>
      </c>
      <c r="E725" s="765" t="s">
        <v>71</v>
      </c>
      <c r="F725" s="766"/>
      <c r="H725" s="173"/>
      <c r="I725" s="811">
        <f>IF(G718="",0,$F$17)</f>
        <v>0</v>
      </c>
      <c r="J725" s="768"/>
      <c r="K725" s="731" t="s">
        <v>239</v>
      </c>
    </row>
    <row r="726" spans="2:15">
      <c r="C726" s="765" t="s">
        <v>72</v>
      </c>
      <c r="D726" s="809">
        <v>10</v>
      </c>
      <c r="E726" s="765" t="s">
        <v>73</v>
      </c>
      <c r="F726" s="766"/>
      <c r="H726" s="173"/>
      <c r="I726" s="769">
        <f>$G$70</f>
        <v>0.11129362813814259</v>
      </c>
      <c r="J726" s="770"/>
      <c r="K726" s="173" t="str">
        <f>"          INPUT PROJECTED ARR (WITH &amp; WITHOUT INCENTIVES) FROM EACH PRIOR YEAR"</f>
        <v xml:space="preserve">          INPUT PROJECTED ARR (WITH &amp; WITHOUT INCENTIVES) FROM EACH PRIOR YEAR</v>
      </c>
    </row>
    <row r="727" spans="2:15">
      <c r="C727" s="765" t="s">
        <v>74</v>
      </c>
      <c r="D727" s="771">
        <f>$G$79</f>
        <v>41</v>
      </c>
      <c r="E727" s="765" t="s">
        <v>75</v>
      </c>
      <c r="F727" s="766"/>
      <c r="H727" s="173"/>
      <c r="I727" s="769">
        <f>IF(G718="",I726,$G$69)</f>
        <v>0.11129362813814259</v>
      </c>
      <c r="J727" s="772"/>
      <c r="K727" s="173" t="s">
        <v>152</v>
      </c>
    </row>
    <row r="728" spans="2:15" ht="13.5" thickBot="1">
      <c r="C728" s="765" t="s">
        <v>76</v>
      </c>
      <c r="D728" s="808" t="s">
        <v>811</v>
      </c>
      <c r="E728" s="773" t="s">
        <v>77</v>
      </c>
      <c r="F728" s="774"/>
      <c r="G728" s="775"/>
      <c r="H728" s="775"/>
      <c r="I728" s="753">
        <f>IF(D724=0,0,D724/D727)</f>
        <v>106301.09756097561</v>
      </c>
      <c r="J728" s="731"/>
      <c r="K728" s="731" t="s">
        <v>158</v>
      </c>
      <c r="L728" s="731"/>
      <c r="M728" s="731"/>
      <c r="N728" s="731"/>
      <c r="O728" s="427"/>
    </row>
    <row r="729" spans="2:15" ht="38.25">
      <c r="B729" s="846"/>
      <c r="C729" s="776" t="s">
        <v>67</v>
      </c>
      <c r="D729" s="777" t="s">
        <v>78</v>
      </c>
      <c r="E729" s="778" t="s">
        <v>79</v>
      </c>
      <c r="F729" s="777" t="s">
        <v>80</v>
      </c>
      <c r="G729" s="778" t="s">
        <v>151</v>
      </c>
      <c r="H729" s="779" t="s">
        <v>151</v>
      </c>
      <c r="I729" s="776" t="s">
        <v>90</v>
      </c>
      <c r="J729" s="780"/>
      <c r="K729" s="778" t="s">
        <v>160</v>
      </c>
      <c r="L729" s="781"/>
      <c r="M729" s="778" t="s">
        <v>160</v>
      </c>
      <c r="N729" s="781"/>
      <c r="O729" s="781"/>
    </row>
    <row r="730" spans="2:15" ht="13.5" thickBot="1">
      <c r="C730" s="782" t="s">
        <v>469</v>
      </c>
      <c r="D730" s="783" t="s">
        <v>470</v>
      </c>
      <c r="E730" s="782" t="s">
        <v>363</v>
      </c>
      <c r="F730" s="783" t="s">
        <v>470</v>
      </c>
      <c r="G730" s="784" t="s">
        <v>93</v>
      </c>
      <c r="H730" s="785" t="s">
        <v>95</v>
      </c>
      <c r="I730" s="786" t="s">
        <v>15</v>
      </c>
      <c r="J730" s="787"/>
      <c r="K730" s="784" t="s">
        <v>82</v>
      </c>
      <c r="L730" s="788"/>
      <c r="M730" s="784" t="s">
        <v>95</v>
      </c>
      <c r="N730" s="788"/>
      <c r="O730" s="788"/>
    </row>
    <row r="731" spans="2:15">
      <c r="C731" s="789">
        <f>IF(D725= "","-",D725)</f>
        <v>2015</v>
      </c>
      <c r="D731" s="737">
        <f>+D724</f>
        <v>4358345</v>
      </c>
      <c r="E731" s="790">
        <f>+I728/12*(12-D726)</f>
        <v>17716.849593495936</v>
      </c>
      <c r="F731" s="737">
        <f>+D731-E731</f>
        <v>4340628.150406504</v>
      </c>
      <c r="G731" s="1001">
        <f>+$I$96*((D731+F731)/2)+E731</f>
        <v>501786.99108601001</v>
      </c>
      <c r="H731" s="1002">
        <f>$I$97*((D731+F731)/2)+E731</f>
        <v>501786.99108601001</v>
      </c>
      <c r="I731" s="793">
        <f>+H731-G731</f>
        <v>0</v>
      </c>
      <c r="J731" s="793"/>
      <c r="K731" s="812">
        <v>366645</v>
      </c>
      <c r="L731" s="794"/>
      <c r="M731" s="812">
        <v>366645</v>
      </c>
      <c r="N731" s="794"/>
      <c r="O731" s="794"/>
    </row>
    <row r="732" spans="2:15">
      <c r="C732" s="789">
        <f>IF(D725="","-",+C731+1)</f>
        <v>2016</v>
      </c>
      <c r="D732" s="737">
        <f t="shared" ref="D732:D790" si="42">F731</f>
        <v>4340628.150406504</v>
      </c>
      <c r="E732" s="790">
        <f>IF(D732&gt;$I$728,$I$728,D732)</f>
        <v>106301.09756097561</v>
      </c>
      <c r="F732" s="737">
        <f t="shared" ref="F732:F790" si="43">+D732-E732</f>
        <v>4234327.0528455283</v>
      </c>
      <c r="G732" s="795">
        <f t="shared" ref="G732:G790" si="44">+$I$96*((D732+F732)/2)+E732</f>
        <v>583470.03540695691</v>
      </c>
      <c r="H732" s="796">
        <f t="shared" ref="H732:H790" si="45">$I$97*((D732+F732)/2)+E732</f>
        <v>583470.03540695691</v>
      </c>
      <c r="I732" s="793">
        <f t="shared" ref="I732:I790" si="46">+H732-G732</f>
        <v>0</v>
      </c>
      <c r="J732" s="793"/>
      <c r="K732" s="813">
        <v>552054</v>
      </c>
      <c r="L732" s="797"/>
      <c r="M732" s="813">
        <v>552054</v>
      </c>
      <c r="N732" s="797"/>
      <c r="O732" s="797"/>
    </row>
    <row r="733" spans="2:15">
      <c r="C733" s="789">
        <f>IF(D725="","-",+C732+1)</f>
        <v>2017</v>
      </c>
      <c r="D733" s="737">
        <f t="shared" si="42"/>
        <v>4234327.0528455283</v>
      </c>
      <c r="E733" s="790">
        <f t="shared" ref="E733:E790" si="47">IF(D733&gt;$I$728,$I$728,D733)</f>
        <v>106301.09756097561</v>
      </c>
      <c r="F733" s="737">
        <f t="shared" si="43"/>
        <v>4128025.9552845526</v>
      </c>
      <c r="G733" s="795">
        <f t="shared" si="44"/>
        <v>571639.40058432927</v>
      </c>
      <c r="H733" s="796">
        <f t="shared" si="45"/>
        <v>571639.40058432927</v>
      </c>
      <c r="I733" s="793">
        <f t="shared" si="46"/>
        <v>0</v>
      </c>
      <c r="J733" s="793"/>
      <c r="K733" s="813">
        <v>493365</v>
      </c>
      <c r="L733" s="797"/>
      <c r="M733" s="813">
        <v>493365</v>
      </c>
      <c r="N733" s="797"/>
      <c r="O733" s="797"/>
    </row>
    <row r="734" spans="2:15">
      <c r="C734" s="1311">
        <f>IF(D725="","-",+C733+1)</f>
        <v>2018</v>
      </c>
      <c r="D734" s="737">
        <f t="shared" si="42"/>
        <v>4128025.9552845526</v>
      </c>
      <c r="E734" s="790">
        <f t="shared" si="47"/>
        <v>106301.09756097561</v>
      </c>
      <c r="F734" s="737">
        <f t="shared" si="43"/>
        <v>4021724.8577235769</v>
      </c>
      <c r="G734" s="795">
        <f t="shared" si="44"/>
        <v>559808.76576170162</v>
      </c>
      <c r="H734" s="796">
        <f t="shared" si="45"/>
        <v>559808.76576170162</v>
      </c>
      <c r="I734" s="793">
        <f t="shared" si="46"/>
        <v>0</v>
      </c>
      <c r="J734" s="793"/>
      <c r="K734" s="813">
        <v>480393</v>
      </c>
      <c r="L734" s="797"/>
      <c r="M734" s="813">
        <v>480393</v>
      </c>
      <c r="N734" s="797"/>
      <c r="O734" s="797"/>
    </row>
    <row r="735" spans="2:15">
      <c r="C735" s="1307">
        <f>IF(D725="","-",+C734+1)</f>
        <v>2019</v>
      </c>
      <c r="D735" s="737">
        <f t="shared" si="42"/>
        <v>4021724.8577235769</v>
      </c>
      <c r="E735" s="790">
        <f t="shared" si="47"/>
        <v>106301.09756097561</v>
      </c>
      <c r="F735" s="737">
        <f t="shared" si="43"/>
        <v>3915423.7601626012</v>
      </c>
      <c r="G735" s="795">
        <f t="shared" si="44"/>
        <v>547978.13093907398</v>
      </c>
      <c r="H735" s="796">
        <f t="shared" si="45"/>
        <v>547978.13093907398</v>
      </c>
      <c r="I735" s="793">
        <f t="shared" si="46"/>
        <v>0</v>
      </c>
      <c r="J735" s="793"/>
      <c r="K735" s="813"/>
      <c r="L735" s="797"/>
      <c r="M735" s="813"/>
      <c r="N735" s="797"/>
      <c r="O735" s="797"/>
    </row>
    <row r="736" spans="2:15">
      <c r="C736" s="789">
        <f>IF(D725="","-",+C735+1)</f>
        <v>2020</v>
      </c>
      <c r="D736" s="737">
        <f t="shared" si="42"/>
        <v>3915423.7601626012</v>
      </c>
      <c r="E736" s="790">
        <f t="shared" si="47"/>
        <v>106301.09756097561</v>
      </c>
      <c r="F736" s="737">
        <f t="shared" si="43"/>
        <v>3809122.6626016255</v>
      </c>
      <c r="G736" s="795">
        <f t="shared" si="44"/>
        <v>536147.49611644633</v>
      </c>
      <c r="H736" s="796">
        <f t="shared" si="45"/>
        <v>536147.49611644633</v>
      </c>
      <c r="I736" s="793">
        <f t="shared" si="46"/>
        <v>0</v>
      </c>
      <c r="J736" s="793"/>
      <c r="K736" s="813"/>
      <c r="L736" s="797"/>
      <c r="M736" s="813"/>
      <c r="N736" s="797"/>
      <c r="O736" s="797"/>
    </row>
    <row r="737" spans="3:15">
      <c r="C737" s="789">
        <f>IF(D725="","-",+C736+1)</f>
        <v>2021</v>
      </c>
      <c r="D737" s="737">
        <f t="shared" si="42"/>
        <v>3809122.6626016255</v>
      </c>
      <c r="E737" s="790">
        <f t="shared" si="47"/>
        <v>106301.09756097561</v>
      </c>
      <c r="F737" s="737">
        <f t="shared" si="43"/>
        <v>3702821.5650406498</v>
      </c>
      <c r="G737" s="795">
        <f t="shared" si="44"/>
        <v>524316.86129381869</v>
      </c>
      <c r="H737" s="796">
        <f t="shared" si="45"/>
        <v>524316.86129381869</v>
      </c>
      <c r="I737" s="793">
        <f t="shared" si="46"/>
        <v>0</v>
      </c>
      <c r="J737" s="793"/>
      <c r="K737" s="813"/>
      <c r="L737" s="797"/>
      <c r="M737" s="813"/>
      <c r="N737" s="797"/>
      <c r="O737" s="797"/>
    </row>
    <row r="738" spans="3:15">
      <c r="C738" s="789">
        <f>IF(D725="","-",+C737+1)</f>
        <v>2022</v>
      </c>
      <c r="D738" s="737">
        <f t="shared" si="42"/>
        <v>3702821.5650406498</v>
      </c>
      <c r="E738" s="790">
        <f t="shared" si="47"/>
        <v>106301.09756097561</v>
      </c>
      <c r="F738" s="737">
        <f t="shared" si="43"/>
        <v>3596520.4674796741</v>
      </c>
      <c r="G738" s="795">
        <f t="shared" si="44"/>
        <v>512486.22647119104</v>
      </c>
      <c r="H738" s="796">
        <f t="shared" si="45"/>
        <v>512486.22647119104</v>
      </c>
      <c r="I738" s="793">
        <f t="shared" si="46"/>
        <v>0</v>
      </c>
      <c r="J738" s="793"/>
      <c r="K738" s="813"/>
      <c r="L738" s="797"/>
      <c r="M738" s="813"/>
      <c r="N738" s="797"/>
      <c r="O738" s="797"/>
    </row>
    <row r="739" spans="3:15">
      <c r="C739" s="789">
        <f>IF(D725="","-",+C738+1)</f>
        <v>2023</v>
      </c>
      <c r="D739" s="737">
        <f t="shared" si="42"/>
        <v>3596520.4674796741</v>
      </c>
      <c r="E739" s="790">
        <f t="shared" si="47"/>
        <v>106301.09756097561</v>
      </c>
      <c r="F739" s="737">
        <f t="shared" si="43"/>
        <v>3490219.3699186984</v>
      </c>
      <c r="G739" s="795">
        <f t="shared" si="44"/>
        <v>500655.59164856339</v>
      </c>
      <c r="H739" s="796">
        <f t="shared" si="45"/>
        <v>500655.59164856339</v>
      </c>
      <c r="I739" s="793">
        <f t="shared" si="46"/>
        <v>0</v>
      </c>
      <c r="J739" s="793"/>
      <c r="K739" s="813"/>
      <c r="L739" s="797"/>
      <c r="M739" s="813"/>
      <c r="N739" s="797"/>
      <c r="O739" s="797"/>
    </row>
    <row r="740" spans="3:15">
      <c r="C740" s="789">
        <f>IF(D725="","-",+C739+1)</f>
        <v>2024</v>
      </c>
      <c r="D740" s="737">
        <f t="shared" si="42"/>
        <v>3490219.3699186984</v>
      </c>
      <c r="E740" s="790">
        <f t="shared" si="47"/>
        <v>106301.09756097561</v>
      </c>
      <c r="F740" s="737">
        <f t="shared" si="43"/>
        <v>3383918.2723577227</v>
      </c>
      <c r="G740" s="795">
        <f t="shared" si="44"/>
        <v>488824.95682593575</v>
      </c>
      <c r="H740" s="796">
        <f t="shared" si="45"/>
        <v>488824.95682593575</v>
      </c>
      <c r="I740" s="793">
        <f t="shared" si="46"/>
        <v>0</v>
      </c>
      <c r="J740" s="793"/>
      <c r="K740" s="813"/>
      <c r="L740" s="797"/>
      <c r="M740" s="813"/>
      <c r="N740" s="797"/>
      <c r="O740" s="797"/>
    </row>
    <row r="741" spans="3:15">
      <c r="C741" s="789">
        <f>IF(D725="","-",+C740+1)</f>
        <v>2025</v>
      </c>
      <c r="D741" s="737">
        <f t="shared" si="42"/>
        <v>3383918.2723577227</v>
      </c>
      <c r="E741" s="790">
        <f t="shared" si="47"/>
        <v>106301.09756097561</v>
      </c>
      <c r="F741" s="737">
        <f t="shared" si="43"/>
        <v>3277617.174796747</v>
      </c>
      <c r="G741" s="795">
        <f t="shared" si="44"/>
        <v>476994.3220033081</v>
      </c>
      <c r="H741" s="796">
        <f t="shared" si="45"/>
        <v>476994.3220033081</v>
      </c>
      <c r="I741" s="793">
        <f t="shared" si="46"/>
        <v>0</v>
      </c>
      <c r="J741" s="793"/>
      <c r="K741" s="813"/>
      <c r="L741" s="797"/>
      <c r="M741" s="813"/>
      <c r="N741" s="797"/>
      <c r="O741" s="797"/>
    </row>
    <row r="742" spans="3:15">
      <c r="C742" s="789">
        <f>IF(D725="","-",+C741+1)</f>
        <v>2026</v>
      </c>
      <c r="D742" s="737">
        <f t="shared" si="42"/>
        <v>3277617.174796747</v>
      </c>
      <c r="E742" s="790">
        <f t="shared" si="47"/>
        <v>106301.09756097561</v>
      </c>
      <c r="F742" s="737">
        <f t="shared" si="43"/>
        <v>3171316.0772357713</v>
      </c>
      <c r="G742" s="795">
        <f t="shared" si="44"/>
        <v>465163.68718068046</v>
      </c>
      <c r="H742" s="796">
        <f t="shared" si="45"/>
        <v>465163.68718068046</v>
      </c>
      <c r="I742" s="793">
        <f t="shared" si="46"/>
        <v>0</v>
      </c>
      <c r="J742" s="793"/>
      <c r="K742" s="813"/>
      <c r="L742" s="797"/>
      <c r="M742" s="813"/>
      <c r="N742" s="797"/>
      <c r="O742" s="797"/>
    </row>
    <row r="743" spans="3:15">
      <c r="C743" s="789">
        <f>IF(D725="","-",+C742+1)</f>
        <v>2027</v>
      </c>
      <c r="D743" s="737">
        <f t="shared" si="42"/>
        <v>3171316.0772357713</v>
      </c>
      <c r="E743" s="790">
        <f t="shared" si="47"/>
        <v>106301.09756097561</v>
      </c>
      <c r="F743" s="737">
        <f t="shared" si="43"/>
        <v>3065014.9796747956</v>
      </c>
      <c r="G743" s="795">
        <f t="shared" si="44"/>
        <v>453333.05235805281</v>
      </c>
      <c r="H743" s="796">
        <f t="shared" si="45"/>
        <v>453333.05235805281</v>
      </c>
      <c r="I743" s="793">
        <f t="shared" si="46"/>
        <v>0</v>
      </c>
      <c r="J743" s="793"/>
      <c r="K743" s="813"/>
      <c r="L743" s="797"/>
      <c r="M743" s="813"/>
      <c r="N743" s="798"/>
      <c r="O743" s="797"/>
    </row>
    <row r="744" spans="3:15">
      <c r="C744" s="789">
        <f>IF(D725="","-",+C743+1)</f>
        <v>2028</v>
      </c>
      <c r="D744" s="737">
        <f t="shared" si="42"/>
        <v>3065014.9796747956</v>
      </c>
      <c r="E744" s="790">
        <f t="shared" si="47"/>
        <v>106301.09756097561</v>
      </c>
      <c r="F744" s="737">
        <f t="shared" si="43"/>
        <v>2958713.8821138199</v>
      </c>
      <c r="G744" s="795">
        <f t="shared" si="44"/>
        <v>441502.41753542516</v>
      </c>
      <c r="H744" s="796">
        <f t="shared" si="45"/>
        <v>441502.41753542516</v>
      </c>
      <c r="I744" s="793">
        <f t="shared" si="46"/>
        <v>0</v>
      </c>
      <c r="J744" s="793"/>
      <c r="K744" s="813"/>
      <c r="L744" s="797"/>
      <c r="M744" s="813"/>
      <c r="N744" s="797"/>
      <c r="O744" s="797"/>
    </row>
    <row r="745" spans="3:15">
      <c r="C745" s="789">
        <f>IF(D725="","-",+C744+1)</f>
        <v>2029</v>
      </c>
      <c r="D745" s="737">
        <f t="shared" si="42"/>
        <v>2958713.8821138199</v>
      </c>
      <c r="E745" s="790">
        <f t="shared" si="47"/>
        <v>106301.09756097561</v>
      </c>
      <c r="F745" s="737">
        <f t="shared" si="43"/>
        <v>2852412.7845528442</v>
      </c>
      <c r="G745" s="795">
        <f t="shared" si="44"/>
        <v>429671.78271279752</v>
      </c>
      <c r="H745" s="796">
        <f t="shared" si="45"/>
        <v>429671.78271279752</v>
      </c>
      <c r="I745" s="793">
        <f t="shared" si="46"/>
        <v>0</v>
      </c>
      <c r="J745" s="793"/>
      <c r="K745" s="813"/>
      <c r="L745" s="797"/>
      <c r="M745" s="813"/>
      <c r="N745" s="797"/>
      <c r="O745" s="797"/>
    </row>
    <row r="746" spans="3:15">
      <c r="C746" s="789">
        <f>IF(D725="","-",+C745+1)</f>
        <v>2030</v>
      </c>
      <c r="D746" s="737">
        <f t="shared" si="42"/>
        <v>2852412.7845528442</v>
      </c>
      <c r="E746" s="790">
        <f t="shared" si="47"/>
        <v>106301.09756097561</v>
      </c>
      <c r="F746" s="737">
        <f t="shared" si="43"/>
        <v>2746111.6869918685</v>
      </c>
      <c r="G746" s="795">
        <f t="shared" si="44"/>
        <v>417841.14789016987</v>
      </c>
      <c r="H746" s="796">
        <f t="shared" si="45"/>
        <v>417841.14789016987</v>
      </c>
      <c r="I746" s="793">
        <f t="shared" si="46"/>
        <v>0</v>
      </c>
      <c r="J746" s="793"/>
      <c r="K746" s="813"/>
      <c r="L746" s="797"/>
      <c r="M746" s="813"/>
      <c r="N746" s="797"/>
      <c r="O746" s="797"/>
    </row>
    <row r="747" spans="3:15">
      <c r="C747" s="789">
        <f>IF(D725="","-",+C746+1)</f>
        <v>2031</v>
      </c>
      <c r="D747" s="737">
        <f t="shared" si="42"/>
        <v>2746111.6869918685</v>
      </c>
      <c r="E747" s="790">
        <f t="shared" si="47"/>
        <v>106301.09756097561</v>
      </c>
      <c r="F747" s="737">
        <f t="shared" si="43"/>
        <v>2639810.5894308928</v>
      </c>
      <c r="G747" s="795">
        <f t="shared" si="44"/>
        <v>406010.51306754223</v>
      </c>
      <c r="H747" s="796">
        <f t="shared" si="45"/>
        <v>406010.51306754223</v>
      </c>
      <c r="I747" s="793">
        <f t="shared" si="46"/>
        <v>0</v>
      </c>
      <c r="J747" s="793"/>
      <c r="K747" s="813"/>
      <c r="L747" s="797"/>
      <c r="M747" s="813"/>
      <c r="N747" s="797"/>
      <c r="O747" s="797"/>
    </row>
    <row r="748" spans="3:15">
      <c r="C748" s="789">
        <f>IF(D725="","-",+C747+1)</f>
        <v>2032</v>
      </c>
      <c r="D748" s="737">
        <f t="shared" si="42"/>
        <v>2639810.5894308928</v>
      </c>
      <c r="E748" s="790">
        <f t="shared" si="47"/>
        <v>106301.09756097561</v>
      </c>
      <c r="F748" s="737">
        <f t="shared" si="43"/>
        <v>2533509.4918699171</v>
      </c>
      <c r="G748" s="795">
        <f t="shared" si="44"/>
        <v>394179.87824491458</v>
      </c>
      <c r="H748" s="796">
        <f t="shared" si="45"/>
        <v>394179.87824491458</v>
      </c>
      <c r="I748" s="793">
        <f t="shared" si="46"/>
        <v>0</v>
      </c>
      <c r="J748" s="793"/>
      <c r="K748" s="813"/>
      <c r="L748" s="797"/>
      <c r="M748" s="813"/>
      <c r="N748" s="797"/>
      <c r="O748" s="797"/>
    </row>
    <row r="749" spans="3:15">
      <c r="C749" s="789">
        <f>IF(D725="","-",+C748+1)</f>
        <v>2033</v>
      </c>
      <c r="D749" s="737">
        <f t="shared" si="42"/>
        <v>2533509.4918699171</v>
      </c>
      <c r="E749" s="790">
        <f t="shared" si="47"/>
        <v>106301.09756097561</v>
      </c>
      <c r="F749" s="737">
        <f t="shared" si="43"/>
        <v>2427208.3943089414</v>
      </c>
      <c r="G749" s="795">
        <f t="shared" si="44"/>
        <v>382349.24342228693</v>
      </c>
      <c r="H749" s="796">
        <f t="shared" si="45"/>
        <v>382349.24342228693</v>
      </c>
      <c r="I749" s="793">
        <f t="shared" si="46"/>
        <v>0</v>
      </c>
      <c r="J749" s="793"/>
      <c r="K749" s="813"/>
      <c r="L749" s="797"/>
      <c r="M749" s="813"/>
      <c r="N749" s="797"/>
      <c r="O749" s="797"/>
    </row>
    <row r="750" spans="3:15">
      <c r="C750" s="789">
        <f>IF(D725="","-",+C749+1)</f>
        <v>2034</v>
      </c>
      <c r="D750" s="737">
        <f t="shared" si="42"/>
        <v>2427208.3943089414</v>
      </c>
      <c r="E750" s="790">
        <f t="shared" si="47"/>
        <v>106301.09756097561</v>
      </c>
      <c r="F750" s="737">
        <f t="shared" si="43"/>
        <v>2320907.2967479657</v>
      </c>
      <c r="G750" s="795">
        <f t="shared" si="44"/>
        <v>370518.60859965929</v>
      </c>
      <c r="H750" s="796">
        <f t="shared" si="45"/>
        <v>370518.60859965929</v>
      </c>
      <c r="I750" s="793">
        <f t="shared" si="46"/>
        <v>0</v>
      </c>
      <c r="J750" s="793"/>
      <c r="K750" s="813"/>
      <c r="L750" s="797"/>
      <c r="M750" s="813"/>
      <c r="N750" s="797"/>
      <c r="O750" s="797"/>
    </row>
    <row r="751" spans="3:15">
      <c r="C751" s="789">
        <f>IF(D725="","-",+C750+1)</f>
        <v>2035</v>
      </c>
      <c r="D751" s="737">
        <f t="shared" si="42"/>
        <v>2320907.2967479657</v>
      </c>
      <c r="E751" s="790">
        <f t="shared" si="47"/>
        <v>106301.09756097561</v>
      </c>
      <c r="F751" s="737">
        <f t="shared" si="43"/>
        <v>2214606.19918699</v>
      </c>
      <c r="G751" s="795">
        <f t="shared" si="44"/>
        <v>358687.97377703164</v>
      </c>
      <c r="H751" s="796">
        <f t="shared" si="45"/>
        <v>358687.97377703164</v>
      </c>
      <c r="I751" s="793">
        <f t="shared" si="46"/>
        <v>0</v>
      </c>
      <c r="J751" s="793"/>
      <c r="K751" s="813"/>
      <c r="L751" s="797"/>
      <c r="M751" s="813"/>
      <c r="N751" s="797"/>
      <c r="O751" s="797"/>
    </row>
    <row r="752" spans="3:15">
      <c r="C752" s="789">
        <f>IF(D725="","-",+C751+1)</f>
        <v>2036</v>
      </c>
      <c r="D752" s="737">
        <f t="shared" si="42"/>
        <v>2214606.19918699</v>
      </c>
      <c r="E752" s="790">
        <f t="shared" si="47"/>
        <v>106301.09756097561</v>
      </c>
      <c r="F752" s="737">
        <f t="shared" si="43"/>
        <v>2108305.1016260143</v>
      </c>
      <c r="G752" s="795">
        <f t="shared" si="44"/>
        <v>346857.338954404</v>
      </c>
      <c r="H752" s="796">
        <f t="shared" si="45"/>
        <v>346857.338954404</v>
      </c>
      <c r="I752" s="793">
        <f t="shared" si="46"/>
        <v>0</v>
      </c>
      <c r="J752" s="793"/>
      <c r="K752" s="813"/>
      <c r="L752" s="797"/>
      <c r="M752" s="813"/>
      <c r="N752" s="797"/>
      <c r="O752" s="797"/>
    </row>
    <row r="753" spans="3:15">
      <c r="C753" s="789">
        <f>IF(D725="","-",+C752+1)</f>
        <v>2037</v>
      </c>
      <c r="D753" s="737">
        <f t="shared" si="42"/>
        <v>2108305.1016260143</v>
      </c>
      <c r="E753" s="790">
        <f t="shared" si="47"/>
        <v>106301.09756097561</v>
      </c>
      <c r="F753" s="737">
        <f t="shared" si="43"/>
        <v>2002004.0040650386</v>
      </c>
      <c r="G753" s="795">
        <f t="shared" si="44"/>
        <v>335026.70413177635</v>
      </c>
      <c r="H753" s="796">
        <f t="shared" si="45"/>
        <v>335026.70413177635</v>
      </c>
      <c r="I753" s="793">
        <f t="shared" si="46"/>
        <v>0</v>
      </c>
      <c r="J753" s="793"/>
      <c r="K753" s="813"/>
      <c r="L753" s="797"/>
      <c r="M753" s="813"/>
      <c r="N753" s="797"/>
      <c r="O753" s="797"/>
    </row>
    <row r="754" spans="3:15">
      <c r="C754" s="789">
        <f>IF(D725="","-",+C753+1)</f>
        <v>2038</v>
      </c>
      <c r="D754" s="737">
        <f t="shared" si="42"/>
        <v>2002004.0040650386</v>
      </c>
      <c r="E754" s="790">
        <f t="shared" si="47"/>
        <v>106301.09756097561</v>
      </c>
      <c r="F754" s="737">
        <f t="shared" si="43"/>
        <v>1895702.9065040629</v>
      </c>
      <c r="G754" s="795">
        <f t="shared" si="44"/>
        <v>323196.0693091487</v>
      </c>
      <c r="H754" s="796">
        <f t="shared" si="45"/>
        <v>323196.0693091487</v>
      </c>
      <c r="I754" s="793">
        <f t="shared" si="46"/>
        <v>0</v>
      </c>
      <c r="J754" s="793"/>
      <c r="K754" s="813"/>
      <c r="L754" s="797"/>
      <c r="M754" s="813"/>
      <c r="N754" s="797"/>
      <c r="O754" s="797"/>
    </row>
    <row r="755" spans="3:15">
      <c r="C755" s="789">
        <f>IF(D725="","-",+C754+1)</f>
        <v>2039</v>
      </c>
      <c r="D755" s="737">
        <f t="shared" si="42"/>
        <v>1895702.9065040629</v>
      </c>
      <c r="E755" s="790">
        <f t="shared" si="47"/>
        <v>106301.09756097561</v>
      </c>
      <c r="F755" s="737">
        <f t="shared" si="43"/>
        <v>1789401.8089430872</v>
      </c>
      <c r="G755" s="795">
        <f t="shared" si="44"/>
        <v>311365.43448652106</v>
      </c>
      <c r="H755" s="796">
        <f t="shared" si="45"/>
        <v>311365.43448652106</v>
      </c>
      <c r="I755" s="793">
        <f t="shared" si="46"/>
        <v>0</v>
      </c>
      <c r="J755" s="793"/>
      <c r="K755" s="813"/>
      <c r="L755" s="797"/>
      <c r="M755" s="813"/>
      <c r="N755" s="797"/>
      <c r="O755" s="797"/>
    </row>
    <row r="756" spans="3:15">
      <c r="C756" s="789">
        <f>IF(D725="","-",+C755+1)</f>
        <v>2040</v>
      </c>
      <c r="D756" s="737">
        <f t="shared" si="42"/>
        <v>1789401.8089430872</v>
      </c>
      <c r="E756" s="790">
        <f t="shared" si="47"/>
        <v>106301.09756097561</v>
      </c>
      <c r="F756" s="737">
        <f t="shared" si="43"/>
        <v>1683100.7113821115</v>
      </c>
      <c r="G756" s="795">
        <f t="shared" si="44"/>
        <v>299534.79966389341</v>
      </c>
      <c r="H756" s="796">
        <f t="shared" si="45"/>
        <v>299534.79966389341</v>
      </c>
      <c r="I756" s="793">
        <f t="shared" si="46"/>
        <v>0</v>
      </c>
      <c r="J756" s="793"/>
      <c r="K756" s="813"/>
      <c r="L756" s="797"/>
      <c r="M756" s="813"/>
      <c r="N756" s="797"/>
      <c r="O756" s="797"/>
    </row>
    <row r="757" spans="3:15">
      <c r="C757" s="789">
        <f>IF(D725="","-",+C756+1)</f>
        <v>2041</v>
      </c>
      <c r="D757" s="737">
        <f t="shared" si="42"/>
        <v>1683100.7113821115</v>
      </c>
      <c r="E757" s="790">
        <f t="shared" si="47"/>
        <v>106301.09756097561</v>
      </c>
      <c r="F757" s="737">
        <f t="shared" si="43"/>
        <v>1576799.6138211358</v>
      </c>
      <c r="G757" s="795">
        <f t="shared" si="44"/>
        <v>287704.16484126577</v>
      </c>
      <c r="H757" s="796">
        <f t="shared" si="45"/>
        <v>287704.16484126577</v>
      </c>
      <c r="I757" s="793">
        <f t="shared" si="46"/>
        <v>0</v>
      </c>
      <c r="J757" s="793"/>
      <c r="K757" s="813"/>
      <c r="L757" s="797"/>
      <c r="M757" s="813"/>
      <c r="N757" s="797"/>
      <c r="O757" s="797"/>
    </row>
    <row r="758" spans="3:15">
      <c r="C758" s="789">
        <f>IF(D725="","-",+C757+1)</f>
        <v>2042</v>
      </c>
      <c r="D758" s="737">
        <f t="shared" si="42"/>
        <v>1576799.6138211358</v>
      </c>
      <c r="E758" s="790">
        <f t="shared" si="47"/>
        <v>106301.09756097561</v>
      </c>
      <c r="F758" s="737">
        <f t="shared" si="43"/>
        <v>1470498.5162601601</v>
      </c>
      <c r="G758" s="795">
        <f t="shared" si="44"/>
        <v>275873.53001863812</v>
      </c>
      <c r="H758" s="796">
        <f t="shared" si="45"/>
        <v>275873.53001863812</v>
      </c>
      <c r="I758" s="793">
        <f t="shared" si="46"/>
        <v>0</v>
      </c>
      <c r="J758" s="793"/>
      <c r="K758" s="813"/>
      <c r="L758" s="797"/>
      <c r="M758" s="813"/>
      <c r="N758" s="797"/>
      <c r="O758" s="797"/>
    </row>
    <row r="759" spans="3:15">
      <c r="C759" s="789">
        <f>IF(D725="","-",+C758+1)</f>
        <v>2043</v>
      </c>
      <c r="D759" s="737">
        <f t="shared" si="42"/>
        <v>1470498.5162601601</v>
      </c>
      <c r="E759" s="790">
        <f t="shared" si="47"/>
        <v>106301.09756097561</v>
      </c>
      <c r="F759" s="737">
        <f t="shared" si="43"/>
        <v>1364197.4186991844</v>
      </c>
      <c r="G759" s="791">
        <f t="shared" si="44"/>
        <v>264042.89519601048</v>
      </c>
      <c r="H759" s="796">
        <f t="shared" si="45"/>
        <v>264042.89519601048</v>
      </c>
      <c r="I759" s="793">
        <f t="shared" si="46"/>
        <v>0</v>
      </c>
      <c r="J759" s="793"/>
      <c r="K759" s="813"/>
      <c r="L759" s="797"/>
      <c r="M759" s="813"/>
      <c r="N759" s="797"/>
      <c r="O759" s="797"/>
    </row>
    <row r="760" spans="3:15">
      <c r="C760" s="789">
        <f>IF(D725="","-",+C759+1)</f>
        <v>2044</v>
      </c>
      <c r="D760" s="737">
        <f t="shared" si="42"/>
        <v>1364197.4186991844</v>
      </c>
      <c r="E760" s="790">
        <f t="shared" si="47"/>
        <v>106301.09756097561</v>
      </c>
      <c r="F760" s="737">
        <f t="shared" si="43"/>
        <v>1257896.3211382087</v>
      </c>
      <c r="G760" s="795">
        <f t="shared" si="44"/>
        <v>252212.26037338283</v>
      </c>
      <c r="H760" s="796">
        <f t="shared" si="45"/>
        <v>252212.26037338283</v>
      </c>
      <c r="I760" s="793">
        <f t="shared" si="46"/>
        <v>0</v>
      </c>
      <c r="J760" s="793"/>
      <c r="K760" s="813"/>
      <c r="L760" s="797"/>
      <c r="M760" s="813"/>
      <c r="N760" s="797"/>
      <c r="O760" s="797"/>
    </row>
    <row r="761" spans="3:15">
      <c r="C761" s="789">
        <f>IF(D725="","-",+C760+1)</f>
        <v>2045</v>
      </c>
      <c r="D761" s="737">
        <f t="shared" si="42"/>
        <v>1257896.3211382087</v>
      </c>
      <c r="E761" s="790">
        <f t="shared" si="47"/>
        <v>106301.09756097561</v>
      </c>
      <c r="F761" s="737">
        <f t="shared" si="43"/>
        <v>1151595.223577233</v>
      </c>
      <c r="G761" s="795">
        <f t="shared" si="44"/>
        <v>240381.62555075518</v>
      </c>
      <c r="H761" s="796">
        <f t="shared" si="45"/>
        <v>240381.62555075518</v>
      </c>
      <c r="I761" s="793">
        <f t="shared" si="46"/>
        <v>0</v>
      </c>
      <c r="J761" s="793"/>
      <c r="K761" s="813"/>
      <c r="L761" s="797"/>
      <c r="M761" s="813"/>
      <c r="N761" s="797"/>
      <c r="O761" s="797"/>
    </row>
    <row r="762" spans="3:15">
      <c r="C762" s="789">
        <f>IF(D725="","-",+C761+1)</f>
        <v>2046</v>
      </c>
      <c r="D762" s="737">
        <f t="shared" si="42"/>
        <v>1151595.223577233</v>
      </c>
      <c r="E762" s="790">
        <f t="shared" si="47"/>
        <v>106301.09756097561</v>
      </c>
      <c r="F762" s="737">
        <f t="shared" si="43"/>
        <v>1045294.1260162574</v>
      </c>
      <c r="G762" s="795">
        <f t="shared" si="44"/>
        <v>228550.99072812754</v>
      </c>
      <c r="H762" s="796">
        <f t="shared" si="45"/>
        <v>228550.99072812754</v>
      </c>
      <c r="I762" s="793">
        <f t="shared" si="46"/>
        <v>0</v>
      </c>
      <c r="J762" s="793"/>
      <c r="K762" s="813"/>
      <c r="L762" s="797"/>
      <c r="M762" s="813"/>
      <c r="N762" s="797"/>
      <c r="O762" s="797"/>
    </row>
    <row r="763" spans="3:15">
      <c r="C763" s="789">
        <f>IF(D725="","-",+C762+1)</f>
        <v>2047</v>
      </c>
      <c r="D763" s="737">
        <f t="shared" si="42"/>
        <v>1045294.1260162574</v>
      </c>
      <c r="E763" s="790">
        <f t="shared" si="47"/>
        <v>106301.09756097561</v>
      </c>
      <c r="F763" s="737">
        <f t="shared" si="43"/>
        <v>938993.02845528186</v>
      </c>
      <c r="G763" s="795">
        <f t="shared" si="44"/>
        <v>216720.35590549992</v>
      </c>
      <c r="H763" s="796">
        <f t="shared" si="45"/>
        <v>216720.35590549992</v>
      </c>
      <c r="I763" s="793">
        <f t="shared" si="46"/>
        <v>0</v>
      </c>
      <c r="J763" s="793"/>
      <c r="K763" s="813"/>
      <c r="L763" s="797"/>
      <c r="M763" s="813"/>
      <c r="N763" s="797"/>
      <c r="O763" s="797"/>
    </row>
    <row r="764" spans="3:15">
      <c r="C764" s="789">
        <f>IF(D725="","-",+C763+1)</f>
        <v>2048</v>
      </c>
      <c r="D764" s="737">
        <f t="shared" si="42"/>
        <v>938993.02845528186</v>
      </c>
      <c r="E764" s="790">
        <f t="shared" si="47"/>
        <v>106301.09756097561</v>
      </c>
      <c r="F764" s="737">
        <f t="shared" si="43"/>
        <v>832691.93089430628</v>
      </c>
      <c r="G764" s="795">
        <f t="shared" si="44"/>
        <v>204889.72108287227</v>
      </c>
      <c r="H764" s="796">
        <f t="shared" si="45"/>
        <v>204889.72108287227</v>
      </c>
      <c r="I764" s="793">
        <f t="shared" si="46"/>
        <v>0</v>
      </c>
      <c r="J764" s="793"/>
      <c r="K764" s="813"/>
      <c r="L764" s="797"/>
      <c r="M764" s="813"/>
      <c r="N764" s="797"/>
      <c r="O764" s="797"/>
    </row>
    <row r="765" spans="3:15">
      <c r="C765" s="789">
        <f>IF(D725="","-",+C764+1)</f>
        <v>2049</v>
      </c>
      <c r="D765" s="737">
        <f t="shared" si="42"/>
        <v>832691.93089430628</v>
      </c>
      <c r="E765" s="790">
        <f t="shared" si="47"/>
        <v>106301.09756097561</v>
      </c>
      <c r="F765" s="737">
        <f t="shared" si="43"/>
        <v>726390.83333333069</v>
      </c>
      <c r="G765" s="795">
        <f t="shared" si="44"/>
        <v>193059.08626024466</v>
      </c>
      <c r="H765" s="796">
        <f t="shared" si="45"/>
        <v>193059.08626024466</v>
      </c>
      <c r="I765" s="793">
        <f t="shared" si="46"/>
        <v>0</v>
      </c>
      <c r="J765" s="793"/>
      <c r="K765" s="813"/>
      <c r="L765" s="797"/>
      <c r="M765" s="813"/>
      <c r="N765" s="797"/>
      <c r="O765" s="797"/>
    </row>
    <row r="766" spans="3:15">
      <c r="C766" s="789">
        <f>IF(D725="","-",+C765+1)</f>
        <v>2050</v>
      </c>
      <c r="D766" s="737">
        <f t="shared" si="42"/>
        <v>726390.83333333069</v>
      </c>
      <c r="E766" s="790">
        <f t="shared" si="47"/>
        <v>106301.09756097561</v>
      </c>
      <c r="F766" s="737">
        <f t="shared" si="43"/>
        <v>620089.73577235511</v>
      </c>
      <c r="G766" s="795">
        <f t="shared" si="44"/>
        <v>181228.45143761701</v>
      </c>
      <c r="H766" s="796">
        <f t="shared" si="45"/>
        <v>181228.45143761701</v>
      </c>
      <c r="I766" s="793">
        <f t="shared" si="46"/>
        <v>0</v>
      </c>
      <c r="J766" s="793"/>
      <c r="K766" s="813"/>
      <c r="L766" s="797"/>
      <c r="M766" s="813"/>
      <c r="N766" s="797"/>
      <c r="O766" s="797"/>
    </row>
    <row r="767" spans="3:15">
      <c r="C767" s="789">
        <f>IF(D725="","-",+C766+1)</f>
        <v>2051</v>
      </c>
      <c r="D767" s="737">
        <f t="shared" si="42"/>
        <v>620089.73577235511</v>
      </c>
      <c r="E767" s="790">
        <f t="shared" si="47"/>
        <v>106301.09756097561</v>
      </c>
      <c r="F767" s="737">
        <f t="shared" si="43"/>
        <v>513788.63821137953</v>
      </c>
      <c r="G767" s="795">
        <f t="shared" si="44"/>
        <v>169397.8166149894</v>
      </c>
      <c r="H767" s="796">
        <f t="shared" si="45"/>
        <v>169397.8166149894</v>
      </c>
      <c r="I767" s="793">
        <f t="shared" si="46"/>
        <v>0</v>
      </c>
      <c r="J767" s="793"/>
      <c r="K767" s="813"/>
      <c r="L767" s="797"/>
      <c r="M767" s="813"/>
      <c r="N767" s="797"/>
      <c r="O767" s="797"/>
    </row>
    <row r="768" spans="3:15">
      <c r="C768" s="789">
        <f>IF(D725="","-",+C767+1)</f>
        <v>2052</v>
      </c>
      <c r="D768" s="737">
        <f t="shared" si="42"/>
        <v>513788.63821137953</v>
      </c>
      <c r="E768" s="790">
        <f t="shared" si="47"/>
        <v>106301.09756097561</v>
      </c>
      <c r="F768" s="737">
        <f t="shared" si="43"/>
        <v>407487.54065040394</v>
      </c>
      <c r="G768" s="795">
        <f t="shared" si="44"/>
        <v>157567.18179236175</v>
      </c>
      <c r="H768" s="796">
        <f t="shared" si="45"/>
        <v>157567.18179236175</v>
      </c>
      <c r="I768" s="793">
        <f t="shared" si="46"/>
        <v>0</v>
      </c>
      <c r="J768" s="793"/>
      <c r="K768" s="813"/>
      <c r="L768" s="797"/>
      <c r="M768" s="813"/>
      <c r="N768" s="797"/>
      <c r="O768" s="797"/>
    </row>
    <row r="769" spans="3:15">
      <c r="C769" s="789">
        <f>IF(D725="","-",+C768+1)</f>
        <v>2053</v>
      </c>
      <c r="D769" s="737">
        <f t="shared" si="42"/>
        <v>407487.54065040394</v>
      </c>
      <c r="E769" s="790">
        <f t="shared" si="47"/>
        <v>106301.09756097561</v>
      </c>
      <c r="F769" s="737">
        <f t="shared" si="43"/>
        <v>301186.44308942836</v>
      </c>
      <c r="G769" s="795">
        <f t="shared" si="44"/>
        <v>145736.54696973413</v>
      </c>
      <c r="H769" s="796">
        <f t="shared" si="45"/>
        <v>145736.54696973413</v>
      </c>
      <c r="I769" s="793">
        <f t="shared" si="46"/>
        <v>0</v>
      </c>
      <c r="J769" s="793"/>
      <c r="K769" s="813"/>
      <c r="L769" s="797"/>
      <c r="M769" s="813"/>
      <c r="N769" s="797"/>
      <c r="O769" s="797"/>
    </row>
    <row r="770" spans="3:15">
      <c r="C770" s="789">
        <f>IF(D725="","-",+C769+1)</f>
        <v>2054</v>
      </c>
      <c r="D770" s="737">
        <f t="shared" si="42"/>
        <v>301186.44308942836</v>
      </c>
      <c r="E770" s="790">
        <f t="shared" si="47"/>
        <v>106301.09756097561</v>
      </c>
      <c r="F770" s="737">
        <f t="shared" si="43"/>
        <v>194885.34552845274</v>
      </c>
      <c r="G770" s="795">
        <f t="shared" si="44"/>
        <v>133905.91214710649</v>
      </c>
      <c r="H770" s="796">
        <f t="shared" si="45"/>
        <v>133905.91214710649</v>
      </c>
      <c r="I770" s="793">
        <f t="shared" si="46"/>
        <v>0</v>
      </c>
      <c r="J770" s="793"/>
      <c r="K770" s="813"/>
      <c r="L770" s="797"/>
      <c r="M770" s="813"/>
      <c r="N770" s="797"/>
      <c r="O770" s="797"/>
    </row>
    <row r="771" spans="3:15">
      <c r="C771" s="789">
        <f>IF(D725="","-",+C770+1)</f>
        <v>2055</v>
      </c>
      <c r="D771" s="737">
        <f t="shared" si="42"/>
        <v>194885.34552845274</v>
      </c>
      <c r="E771" s="790">
        <f t="shared" si="47"/>
        <v>106301.09756097561</v>
      </c>
      <c r="F771" s="737">
        <f t="shared" si="43"/>
        <v>88584.247967477131</v>
      </c>
      <c r="G771" s="795">
        <f t="shared" si="44"/>
        <v>122075.27732447884</v>
      </c>
      <c r="H771" s="796">
        <f t="shared" si="45"/>
        <v>122075.27732447884</v>
      </c>
      <c r="I771" s="793">
        <f t="shared" si="46"/>
        <v>0</v>
      </c>
      <c r="J771" s="793"/>
      <c r="K771" s="813"/>
      <c r="L771" s="797"/>
      <c r="M771" s="813"/>
      <c r="N771" s="797"/>
      <c r="O771" s="797"/>
    </row>
    <row r="772" spans="3:15">
      <c r="C772" s="789">
        <f>IF(D725="","-",+C771+1)</f>
        <v>2056</v>
      </c>
      <c r="D772" s="737">
        <f t="shared" si="42"/>
        <v>88584.247967477131</v>
      </c>
      <c r="E772" s="790">
        <f t="shared" si="47"/>
        <v>88584.247967477131</v>
      </c>
      <c r="F772" s="737">
        <f t="shared" si="43"/>
        <v>0</v>
      </c>
      <c r="G772" s="795">
        <f t="shared" si="44"/>
        <v>93513.679143571833</v>
      </c>
      <c r="H772" s="796">
        <f t="shared" si="45"/>
        <v>93513.679143571833</v>
      </c>
      <c r="I772" s="793">
        <f t="shared" si="46"/>
        <v>0</v>
      </c>
      <c r="J772" s="793"/>
      <c r="K772" s="813"/>
      <c r="L772" s="797"/>
      <c r="M772" s="813"/>
      <c r="N772" s="797"/>
      <c r="O772" s="797"/>
    </row>
    <row r="773" spans="3:15">
      <c r="C773" s="789">
        <f>IF(D725="","-",+C772+1)</f>
        <v>2057</v>
      </c>
      <c r="D773" s="737">
        <f t="shared" si="42"/>
        <v>0</v>
      </c>
      <c r="E773" s="790">
        <f t="shared" si="47"/>
        <v>0</v>
      </c>
      <c r="F773" s="737">
        <f t="shared" si="43"/>
        <v>0</v>
      </c>
      <c r="G773" s="795">
        <f t="shared" si="44"/>
        <v>0</v>
      </c>
      <c r="H773" s="796">
        <f t="shared" si="45"/>
        <v>0</v>
      </c>
      <c r="I773" s="793">
        <f t="shared" si="46"/>
        <v>0</v>
      </c>
      <c r="J773" s="793"/>
      <c r="K773" s="813"/>
      <c r="L773" s="797"/>
      <c r="M773" s="813"/>
      <c r="N773" s="797"/>
      <c r="O773" s="797"/>
    </row>
    <row r="774" spans="3:15">
      <c r="C774" s="789">
        <f>IF(D725="","-",+C773+1)</f>
        <v>2058</v>
      </c>
      <c r="D774" s="737">
        <f t="shared" si="42"/>
        <v>0</v>
      </c>
      <c r="E774" s="790">
        <f t="shared" si="47"/>
        <v>0</v>
      </c>
      <c r="F774" s="737">
        <f t="shared" si="43"/>
        <v>0</v>
      </c>
      <c r="G774" s="795">
        <f t="shared" si="44"/>
        <v>0</v>
      </c>
      <c r="H774" s="796">
        <f t="shared" si="45"/>
        <v>0</v>
      </c>
      <c r="I774" s="793">
        <f t="shared" si="46"/>
        <v>0</v>
      </c>
      <c r="J774" s="793"/>
      <c r="K774" s="813"/>
      <c r="L774" s="797"/>
      <c r="M774" s="813"/>
      <c r="N774" s="797"/>
      <c r="O774" s="797"/>
    </row>
    <row r="775" spans="3:15">
      <c r="C775" s="789">
        <f>IF(D725="","-",+C774+1)</f>
        <v>2059</v>
      </c>
      <c r="D775" s="737">
        <f t="shared" si="42"/>
        <v>0</v>
      </c>
      <c r="E775" s="790">
        <f t="shared" si="47"/>
        <v>0</v>
      </c>
      <c r="F775" s="737">
        <f t="shared" si="43"/>
        <v>0</v>
      </c>
      <c r="G775" s="795">
        <f t="shared" si="44"/>
        <v>0</v>
      </c>
      <c r="H775" s="796">
        <f t="shared" si="45"/>
        <v>0</v>
      </c>
      <c r="I775" s="793">
        <f t="shared" si="46"/>
        <v>0</v>
      </c>
      <c r="J775" s="793"/>
      <c r="K775" s="813"/>
      <c r="L775" s="797"/>
      <c r="M775" s="813"/>
      <c r="N775" s="797"/>
      <c r="O775" s="797"/>
    </row>
    <row r="776" spans="3:15">
      <c r="C776" s="789">
        <f>IF(D725="","-",+C775+1)</f>
        <v>2060</v>
      </c>
      <c r="D776" s="737">
        <f t="shared" si="42"/>
        <v>0</v>
      </c>
      <c r="E776" s="790">
        <f t="shared" si="47"/>
        <v>0</v>
      </c>
      <c r="F776" s="737">
        <f t="shared" si="43"/>
        <v>0</v>
      </c>
      <c r="G776" s="795">
        <f t="shared" si="44"/>
        <v>0</v>
      </c>
      <c r="H776" s="796">
        <f t="shared" si="45"/>
        <v>0</v>
      </c>
      <c r="I776" s="793">
        <f t="shared" si="46"/>
        <v>0</v>
      </c>
      <c r="J776" s="793"/>
      <c r="K776" s="813"/>
      <c r="L776" s="797"/>
      <c r="M776" s="813"/>
      <c r="N776" s="797"/>
      <c r="O776" s="797"/>
    </row>
    <row r="777" spans="3:15">
      <c r="C777" s="789">
        <f>IF(D725="","-",+C776+1)</f>
        <v>2061</v>
      </c>
      <c r="D777" s="737">
        <f t="shared" si="42"/>
        <v>0</v>
      </c>
      <c r="E777" s="790">
        <f t="shared" si="47"/>
        <v>0</v>
      </c>
      <c r="F777" s="737">
        <f t="shared" si="43"/>
        <v>0</v>
      </c>
      <c r="G777" s="795">
        <f t="shared" si="44"/>
        <v>0</v>
      </c>
      <c r="H777" s="796">
        <f t="shared" si="45"/>
        <v>0</v>
      </c>
      <c r="I777" s="793">
        <f t="shared" si="46"/>
        <v>0</v>
      </c>
      <c r="J777" s="793"/>
      <c r="K777" s="813"/>
      <c r="L777" s="797"/>
      <c r="M777" s="813"/>
      <c r="N777" s="797"/>
      <c r="O777" s="797"/>
    </row>
    <row r="778" spans="3:15">
      <c r="C778" s="789">
        <f>IF(D725="","-",+C777+1)</f>
        <v>2062</v>
      </c>
      <c r="D778" s="737">
        <f t="shared" si="42"/>
        <v>0</v>
      </c>
      <c r="E778" s="790">
        <f t="shared" si="47"/>
        <v>0</v>
      </c>
      <c r="F778" s="737">
        <f t="shared" si="43"/>
        <v>0</v>
      </c>
      <c r="G778" s="795">
        <f t="shared" si="44"/>
        <v>0</v>
      </c>
      <c r="H778" s="796">
        <f t="shared" si="45"/>
        <v>0</v>
      </c>
      <c r="I778" s="793">
        <f t="shared" si="46"/>
        <v>0</v>
      </c>
      <c r="J778" s="793"/>
      <c r="K778" s="813"/>
      <c r="L778" s="797"/>
      <c r="M778" s="813"/>
      <c r="N778" s="797"/>
      <c r="O778" s="797"/>
    </row>
    <row r="779" spans="3:15">
      <c r="C779" s="789">
        <f>IF(D725="","-",+C778+1)</f>
        <v>2063</v>
      </c>
      <c r="D779" s="737">
        <f t="shared" si="42"/>
        <v>0</v>
      </c>
      <c r="E779" s="790">
        <f t="shared" si="47"/>
        <v>0</v>
      </c>
      <c r="F779" s="737">
        <f t="shared" si="43"/>
        <v>0</v>
      </c>
      <c r="G779" s="795">
        <f t="shared" si="44"/>
        <v>0</v>
      </c>
      <c r="H779" s="796">
        <f t="shared" si="45"/>
        <v>0</v>
      </c>
      <c r="I779" s="793">
        <f t="shared" si="46"/>
        <v>0</v>
      </c>
      <c r="J779" s="793"/>
      <c r="K779" s="813"/>
      <c r="L779" s="797"/>
      <c r="M779" s="813"/>
      <c r="N779" s="797"/>
      <c r="O779" s="797"/>
    </row>
    <row r="780" spans="3:15">
      <c r="C780" s="789">
        <f>IF(D725="","-",+C779+1)</f>
        <v>2064</v>
      </c>
      <c r="D780" s="737">
        <f t="shared" si="42"/>
        <v>0</v>
      </c>
      <c r="E780" s="790">
        <f t="shared" si="47"/>
        <v>0</v>
      </c>
      <c r="F780" s="737">
        <f t="shared" si="43"/>
        <v>0</v>
      </c>
      <c r="G780" s="795">
        <f t="shared" si="44"/>
        <v>0</v>
      </c>
      <c r="H780" s="796">
        <f t="shared" si="45"/>
        <v>0</v>
      </c>
      <c r="I780" s="793">
        <f t="shared" si="46"/>
        <v>0</v>
      </c>
      <c r="J780" s="793"/>
      <c r="K780" s="813"/>
      <c r="L780" s="797"/>
      <c r="M780" s="813"/>
      <c r="N780" s="797"/>
      <c r="O780" s="797"/>
    </row>
    <row r="781" spans="3:15">
      <c r="C781" s="789">
        <f>IF(D725="","-",+C780+1)</f>
        <v>2065</v>
      </c>
      <c r="D781" s="737">
        <f t="shared" si="42"/>
        <v>0</v>
      </c>
      <c r="E781" s="790">
        <f t="shared" si="47"/>
        <v>0</v>
      </c>
      <c r="F781" s="737">
        <f t="shared" si="43"/>
        <v>0</v>
      </c>
      <c r="G781" s="795">
        <f t="shared" si="44"/>
        <v>0</v>
      </c>
      <c r="H781" s="796">
        <f t="shared" si="45"/>
        <v>0</v>
      </c>
      <c r="I781" s="793">
        <f t="shared" si="46"/>
        <v>0</v>
      </c>
      <c r="J781" s="793"/>
      <c r="K781" s="813"/>
      <c r="L781" s="797"/>
      <c r="M781" s="813"/>
      <c r="N781" s="797"/>
      <c r="O781" s="797"/>
    </row>
    <row r="782" spans="3:15">
      <c r="C782" s="789">
        <f>IF(D725="","-",+C781+1)</f>
        <v>2066</v>
      </c>
      <c r="D782" s="737">
        <f t="shared" si="42"/>
        <v>0</v>
      </c>
      <c r="E782" s="790">
        <f t="shared" si="47"/>
        <v>0</v>
      </c>
      <c r="F782" s="737">
        <f t="shared" si="43"/>
        <v>0</v>
      </c>
      <c r="G782" s="795">
        <f t="shared" si="44"/>
        <v>0</v>
      </c>
      <c r="H782" s="796">
        <f t="shared" si="45"/>
        <v>0</v>
      </c>
      <c r="I782" s="793">
        <f t="shared" si="46"/>
        <v>0</v>
      </c>
      <c r="J782" s="793"/>
      <c r="K782" s="813"/>
      <c r="L782" s="797"/>
      <c r="M782" s="813"/>
      <c r="N782" s="797"/>
      <c r="O782" s="797"/>
    </row>
    <row r="783" spans="3:15">
      <c r="C783" s="789">
        <f>IF(D725="","-",+C782+1)</f>
        <v>2067</v>
      </c>
      <c r="D783" s="737">
        <f t="shared" si="42"/>
        <v>0</v>
      </c>
      <c r="E783" s="790">
        <f t="shared" si="47"/>
        <v>0</v>
      </c>
      <c r="F783" s="737">
        <f t="shared" si="43"/>
        <v>0</v>
      </c>
      <c r="G783" s="795">
        <f t="shared" si="44"/>
        <v>0</v>
      </c>
      <c r="H783" s="796">
        <f t="shared" si="45"/>
        <v>0</v>
      </c>
      <c r="I783" s="793">
        <f t="shared" si="46"/>
        <v>0</v>
      </c>
      <c r="J783" s="793"/>
      <c r="K783" s="813"/>
      <c r="L783" s="797"/>
      <c r="M783" s="813"/>
      <c r="N783" s="797"/>
      <c r="O783" s="797"/>
    </row>
    <row r="784" spans="3:15">
      <c r="C784" s="789">
        <f>IF(D725="","-",+C783+1)</f>
        <v>2068</v>
      </c>
      <c r="D784" s="737">
        <f t="shared" si="42"/>
        <v>0</v>
      </c>
      <c r="E784" s="790">
        <f t="shared" si="47"/>
        <v>0</v>
      </c>
      <c r="F784" s="737">
        <f t="shared" si="43"/>
        <v>0</v>
      </c>
      <c r="G784" s="795">
        <f t="shared" si="44"/>
        <v>0</v>
      </c>
      <c r="H784" s="796">
        <f t="shared" si="45"/>
        <v>0</v>
      </c>
      <c r="I784" s="793">
        <f t="shared" si="46"/>
        <v>0</v>
      </c>
      <c r="J784" s="793"/>
      <c r="K784" s="813"/>
      <c r="L784" s="797"/>
      <c r="M784" s="813"/>
      <c r="N784" s="797"/>
      <c r="O784" s="797"/>
    </row>
    <row r="785" spans="3:15">
      <c r="C785" s="789">
        <f>IF(D725="","-",+C784+1)</f>
        <v>2069</v>
      </c>
      <c r="D785" s="737">
        <f t="shared" si="42"/>
        <v>0</v>
      </c>
      <c r="E785" s="790">
        <f t="shared" si="47"/>
        <v>0</v>
      </c>
      <c r="F785" s="737">
        <f t="shared" si="43"/>
        <v>0</v>
      </c>
      <c r="G785" s="795">
        <f t="shared" si="44"/>
        <v>0</v>
      </c>
      <c r="H785" s="796">
        <f t="shared" si="45"/>
        <v>0</v>
      </c>
      <c r="I785" s="793">
        <f t="shared" si="46"/>
        <v>0</v>
      </c>
      <c r="J785" s="793"/>
      <c r="K785" s="813"/>
      <c r="L785" s="797"/>
      <c r="M785" s="813"/>
      <c r="N785" s="797"/>
      <c r="O785" s="797"/>
    </row>
    <row r="786" spans="3:15">
      <c r="C786" s="789">
        <f>IF(D725="","-",+C785+1)</f>
        <v>2070</v>
      </c>
      <c r="D786" s="737">
        <f t="shared" si="42"/>
        <v>0</v>
      </c>
      <c r="E786" s="790">
        <f t="shared" si="47"/>
        <v>0</v>
      </c>
      <c r="F786" s="737">
        <f t="shared" si="43"/>
        <v>0</v>
      </c>
      <c r="G786" s="795">
        <f t="shared" si="44"/>
        <v>0</v>
      </c>
      <c r="H786" s="796">
        <f t="shared" si="45"/>
        <v>0</v>
      </c>
      <c r="I786" s="793">
        <f t="shared" si="46"/>
        <v>0</v>
      </c>
      <c r="J786" s="793"/>
      <c r="K786" s="813"/>
      <c r="L786" s="797"/>
      <c r="M786" s="813"/>
      <c r="N786" s="797"/>
      <c r="O786" s="797"/>
    </row>
    <row r="787" spans="3:15">
      <c r="C787" s="789">
        <f>IF(D725="","-",+C786+1)</f>
        <v>2071</v>
      </c>
      <c r="D787" s="737">
        <f t="shared" si="42"/>
        <v>0</v>
      </c>
      <c r="E787" s="790">
        <f t="shared" si="47"/>
        <v>0</v>
      </c>
      <c r="F787" s="737">
        <f t="shared" si="43"/>
        <v>0</v>
      </c>
      <c r="G787" s="795">
        <f t="shared" si="44"/>
        <v>0</v>
      </c>
      <c r="H787" s="796">
        <f t="shared" si="45"/>
        <v>0</v>
      </c>
      <c r="I787" s="793">
        <f t="shared" si="46"/>
        <v>0</v>
      </c>
      <c r="J787" s="793"/>
      <c r="K787" s="813"/>
      <c r="L787" s="797"/>
      <c r="M787" s="813"/>
      <c r="N787" s="797"/>
      <c r="O787" s="797"/>
    </row>
    <row r="788" spans="3:15">
      <c r="C788" s="789">
        <f>IF(D725="","-",+C787+1)</f>
        <v>2072</v>
      </c>
      <c r="D788" s="737">
        <f t="shared" si="42"/>
        <v>0</v>
      </c>
      <c r="E788" s="790">
        <f t="shared" si="47"/>
        <v>0</v>
      </c>
      <c r="F788" s="737">
        <f t="shared" si="43"/>
        <v>0</v>
      </c>
      <c r="G788" s="795">
        <f t="shared" si="44"/>
        <v>0</v>
      </c>
      <c r="H788" s="796">
        <f t="shared" si="45"/>
        <v>0</v>
      </c>
      <c r="I788" s="793">
        <f t="shared" si="46"/>
        <v>0</v>
      </c>
      <c r="J788" s="793"/>
      <c r="K788" s="813"/>
      <c r="L788" s="797"/>
      <c r="M788" s="813"/>
      <c r="N788" s="797"/>
      <c r="O788" s="797"/>
    </row>
    <row r="789" spans="3:15">
      <c r="C789" s="789">
        <f>IF(D725="","-",+C788+1)</f>
        <v>2073</v>
      </c>
      <c r="D789" s="737">
        <f t="shared" si="42"/>
        <v>0</v>
      </c>
      <c r="E789" s="790">
        <f t="shared" si="47"/>
        <v>0</v>
      </c>
      <c r="F789" s="737">
        <f t="shared" si="43"/>
        <v>0</v>
      </c>
      <c r="G789" s="795">
        <f t="shared" si="44"/>
        <v>0</v>
      </c>
      <c r="H789" s="796">
        <f t="shared" si="45"/>
        <v>0</v>
      </c>
      <c r="I789" s="793">
        <f t="shared" si="46"/>
        <v>0</v>
      </c>
      <c r="J789" s="793"/>
      <c r="K789" s="813"/>
      <c r="L789" s="797"/>
      <c r="M789" s="813"/>
      <c r="N789" s="797"/>
      <c r="O789" s="797"/>
    </row>
    <row r="790" spans="3:15" ht="13.5" thickBot="1">
      <c r="C790" s="799">
        <f>IF(D725="","-",+C789+1)</f>
        <v>2074</v>
      </c>
      <c r="D790" s="800">
        <f t="shared" si="42"/>
        <v>0</v>
      </c>
      <c r="E790" s="801">
        <f t="shared" si="47"/>
        <v>0</v>
      </c>
      <c r="F790" s="800">
        <f t="shared" si="43"/>
        <v>0</v>
      </c>
      <c r="G790" s="802">
        <f t="shared" si="44"/>
        <v>0</v>
      </c>
      <c r="H790" s="802">
        <f t="shared" si="45"/>
        <v>0</v>
      </c>
      <c r="I790" s="803">
        <f t="shared" si="46"/>
        <v>0</v>
      </c>
      <c r="J790" s="793"/>
      <c r="K790" s="814"/>
      <c r="L790" s="804"/>
      <c r="M790" s="814"/>
      <c r="N790" s="804"/>
      <c r="O790" s="804"/>
    </row>
    <row r="791" spans="3:15">
      <c r="C791" s="737" t="s">
        <v>83</v>
      </c>
      <c r="D791" s="731"/>
      <c r="E791" s="731">
        <f>SUM(E731:E790)</f>
        <v>4358345</v>
      </c>
      <c r="F791" s="731"/>
      <c r="G791" s="731">
        <f>SUM(G731:G790)</f>
        <v>14706206.924858294</v>
      </c>
      <c r="H791" s="731">
        <f>SUM(H731:H790)</f>
        <v>14706206.924858294</v>
      </c>
      <c r="I791" s="731">
        <f>SUM(I731:I790)</f>
        <v>0</v>
      </c>
      <c r="J791" s="731"/>
      <c r="K791" s="731"/>
      <c r="L791" s="731"/>
      <c r="M791" s="731"/>
      <c r="N791" s="731"/>
      <c r="O791" s="314"/>
    </row>
    <row r="792" spans="3:15">
      <c r="D792" s="539"/>
      <c r="E792" s="314"/>
      <c r="F792" s="314"/>
      <c r="G792" s="314"/>
      <c r="H792" s="709"/>
      <c r="I792" s="709"/>
      <c r="J792" s="731"/>
      <c r="K792" s="709"/>
      <c r="L792" s="709"/>
      <c r="M792" s="709"/>
      <c r="N792" s="709"/>
      <c r="O792" s="314"/>
    </row>
    <row r="793" spans="3:15">
      <c r="C793" s="314" t="s">
        <v>13</v>
      </c>
      <c r="D793" s="539"/>
      <c r="E793" s="314"/>
      <c r="F793" s="314"/>
      <c r="G793" s="314"/>
      <c r="H793" s="709"/>
      <c r="I793" s="709"/>
      <c r="J793" s="731"/>
      <c r="K793" s="709"/>
      <c r="L793" s="709"/>
      <c r="M793" s="709"/>
      <c r="N793" s="709"/>
      <c r="O793" s="314"/>
    </row>
    <row r="794" spans="3:15">
      <c r="C794" s="314"/>
      <c r="D794" s="539"/>
      <c r="E794" s="314"/>
      <c r="F794" s="314"/>
      <c r="G794" s="314"/>
      <c r="H794" s="709"/>
      <c r="I794" s="709"/>
      <c r="J794" s="731"/>
      <c r="K794" s="709"/>
      <c r="L794" s="709"/>
      <c r="M794" s="709"/>
      <c r="N794" s="709"/>
      <c r="O794" s="314"/>
    </row>
    <row r="795" spans="3:15">
      <c r="C795" s="750" t="s">
        <v>14</v>
      </c>
      <c r="D795" s="737"/>
      <c r="E795" s="737"/>
      <c r="F795" s="737"/>
      <c r="G795" s="731"/>
      <c r="H795" s="731"/>
      <c r="I795" s="805"/>
      <c r="J795" s="805"/>
      <c r="K795" s="805"/>
      <c r="L795" s="805"/>
      <c r="M795" s="805"/>
      <c r="N795" s="805"/>
      <c r="O795" s="314"/>
    </row>
    <row r="796" spans="3:15">
      <c r="C796" s="736" t="s">
        <v>263</v>
      </c>
      <c r="D796" s="737"/>
      <c r="E796" s="737"/>
      <c r="F796" s="737"/>
      <c r="G796" s="731"/>
      <c r="H796" s="731"/>
      <c r="I796" s="805"/>
      <c r="J796" s="805"/>
      <c r="K796" s="805"/>
      <c r="L796" s="805"/>
      <c r="M796" s="805"/>
      <c r="N796" s="805"/>
      <c r="O796" s="314"/>
    </row>
    <row r="797" spans="3:15">
      <c r="C797" s="736" t="s">
        <v>84</v>
      </c>
      <c r="D797" s="737"/>
      <c r="E797" s="737"/>
      <c r="F797" s="737"/>
      <c r="G797" s="731"/>
      <c r="H797" s="731"/>
      <c r="I797" s="805"/>
      <c r="J797" s="805"/>
      <c r="K797" s="805"/>
      <c r="L797" s="805"/>
      <c r="M797" s="805"/>
      <c r="N797" s="805"/>
      <c r="O797" s="314"/>
    </row>
    <row r="798" spans="3:15">
      <c r="C798" s="736"/>
      <c r="D798" s="737"/>
      <c r="E798" s="737"/>
      <c r="F798" s="737"/>
      <c r="G798" s="731"/>
      <c r="H798" s="731"/>
      <c r="I798" s="805"/>
      <c r="J798" s="805"/>
      <c r="K798" s="805"/>
      <c r="L798" s="805"/>
      <c r="M798" s="805"/>
      <c r="N798" s="805"/>
      <c r="O798" s="314"/>
    </row>
    <row r="799" spans="3:15">
      <c r="C799" s="1568" t="s">
        <v>6</v>
      </c>
      <c r="D799" s="1568"/>
      <c r="E799" s="1568"/>
      <c r="F799" s="1568"/>
      <c r="G799" s="1568"/>
      <c r="H799" s="1568"/>
      <c r="I799" s="1568"/>
      <c r="J799" s="1568"/>
      <c r="K799" s="1568"/>
      <c r="L799" s="1568"/>
      <c r="M799" s="1568"/>
      <c r="N799" s="1568"/>
      <c r="O799" s="1568"/>
    </row>
    <row r="800" spans="3:15">
      <c r="C800" s="1568"/>
      <c r="D800" s="1568"/>
      <c r="E800" s="1568"/>
      <c r="F800" s="1568"/>
      <c r="G800" s="1568"/>
      <c r="H800" s="1568"/>
      <c r="I800" s="1568"/>
      <c r="J800" s="1568"/>
      <c r="K800" s="1568"/>
      <c r="L800" s="1568"/>
      <c r="M800" s="1568"/>
      <c r="N800" s="1568"/>
      <c r="O800" s="1568"/>
    </row>
    <row r="801" spans="1:16">
      <c r="C801" s="736"/>
      <c r="D801" s="737"/>
      <c r="E801" s="737"/>
      <c r="F801" s="737"/>
      <c r="G801" s="731"/>
      <c r="H801" s="731"/>
    </row>
    <row r="802" spans="1:16" ht="20.25">
      <c r="A802" s="738" t="str">
        <f>""&amp;A726&amp;" Worksheet J -  ATRR PROJECTED Calculation for PJM Projects Charged to Benefiting Zones"</f>
        <v xml:space="preserve"> Worksheet J -  ATRR PROJECTED Calculation for PJM Projects Charged to Benefiting Zones</v>
      </c>
      <c r="B802" s="348"/>
      <c r="C802" s="726"/>
      <c r="D802" s="539"/>
      <c r="E802" s="314"/>
      <c r="F802" s="708"/>
      <c r="G802" s="314"/>
      <c r="H802" s="709"/>
      <c r="K802" s="565"/>
      <c r="L802" s="565"/>
      <c r="M802" s="565"/>
      <c r="N802" s="654" t="str">
        <f>"Page "&amp;SUM(P$8:P802)&amp;" of "</f>
        <v xml:space="preserve">Page 10 of </v>
      </c>
      <c r="O802" s="655">
        <f>COUNT(P$8:P$56653)</f>
        <v>12</v>
      </c>
      <c r="P802" s="739">
        <v>1</v>
      </c>
    </row>
    <row r="803" spans="1:16">
      <c r="B803" s="348"/>
      <c r="C803" s="314"/>
      <c r="D803" s="539"/>
      <c r="E803" s="314"/>
      <c r="F803" s="314"/>
      <c r="G803" s="314"/>
      <c r="H803" s="709"/>
      <c r="I803" s="314"/>
      <c r="J803" s="427"/>
      <c r="K803" s="314"/>
      <c r="L803" s="314"/>
      <c r="M803" s="314"/>
      <c r="N803" s="314"/>
      <c r="O803" s="314"/>
      <c r="P803" s="427"/>
    </row>
    <row r="804" spans="1:16" ht="18">
      <c r="B804" s="658" t="s">
        <v>466</v>
      </c>
      <c r="C804" s="740" t="s">
        <v>85</v>
      </c>
      <c r="D804" s="539"/>
      <c r="E804" s="314"/>
      <c r="F804" s="314"/>
      <c r="G804" s="314"/>
      <c r="H804" s="709"/>
      <c r="I804" s="709"/>
      <c r="J804" s="731"/>
      <c r="K804" s="709"/>
      <c r="L804" s="709"/>
      <c r="M804" s="709"/>
      <c r="N804" s="709"/>
      <c r="O804" s="314"/>
    </row>
    <row r="805" spans="1:16" ht="18.75">
      <c r="B805" s="658"/>
      <c r="C805" s="657"/>
      <c r="D805" s="539"/>
      <c r="E805" s="314"/>
      <c r="F805" s="314"/>
      <c r="G805" s="314"/>
      <c r="H805" s="709"/>
      <c r="I805" s="709"/>
      <c r="J805" s="731"/>
      <c r="K805" s="709"/>
      <c r="L805" s="709"/>
      <c r="M805" s="709"/>
      <c r="N805" s="709"/>
      <c r="O805" s="314"/>
    </row>
    <row r="806" spans="1:16" ht="18.75">
      <c r="B806" s="658"/>
      <c r="C806" s="657" t="s">
        <v>86</v>
      </c>
      <c r="D806" s="539"/>
      <c r="E806" s="314"/>
      <c r="F806" s="314"/>
      <c r="G806" s="314"/>
      <c r="H806" s="709"/>
      <c r="I806" s="709"/>
      <c r="J806" s="731"/>
      <c r="K806" s="709"/>
      <c r="L806" s="709"/>
      <c r="M806" s="709"/>
      <c r="N806" s="709"/>
      <c r="O806" s="314"/>
    </row>
    <row r="807" spans="1:16" ht="15.75" thickBot="1">
      <c r="C807" s="240"/>
      <c r="D807" s="539"/>
      <c r="E807" s="314"/>
      <c r="F807" s="314"/>
      <c r="G807" s="314"/>
      <c r="H807" s="709"/>
      <c r="I807" s="709"/>
      <c r="J807" s="731"/>
      <c r="K807" s="709"/>
      <c r="L807" s="709"/>
      <c r="M807" s="709"/>
      <c r="N807" s="709"/>
      <c r="O807" s="314"/>
    </row>
    <row r="808" spans="1:16" ht="15.75">
      <c r="C808" s="660" t="s">
        <v>87</v>
      </c>
      <c r="D808" s="539"/>
      <c r="E808" s="314"/>
      <c r="F808" s="314"/>
      <c r="G808" s="807"/>
      <c r="H808" s="314" t="s">
        <v>66</v>
      </c>
      <c r="I808" s="314"/>
      <c r="J808" s="427"/>
      <c r="K808" s="741" t="s">
        <v>91</v>
      </c>
      <c r="L808" s="742"/>
      <c r="M808" s="743"/>
      <c r="N808" s="744">
        <f>IF(I814=0,0,VLOOKUP(I814,C821:O880,5))</f>
        <v>252577.14353464358</v>
      </c>
      <c r="O808" s="314"/>
    </row>
    <row r="809" spans="1:16" ht="15.75">
      <c r="C809" s="660"/>
      <c r="D809" s="539"/>
      <c r="E809" s="314"/>
      <c r="F809" s="314"/>
      <c r="G809" s="314"/>
      <c r="H809" s="745"/>
      <c r="I809" s="745"/>
      <c r="J809" s="746"/>
      <c r="K809" s="747" t="s">
        <v>92</v>
      </c>
      <c r="L809" s="748"/>
      <c r="M809" s="427"/>
      <c r="N809" s="749">
        <f>IF(I814=0,0,VLOOKUP(I814,C821:O880,6))</f>
        <v>252577.14353464358</v>
      </c>
      <c r="O809" s="314"/>
    </row>
    <row r="810" spans="1:16" ht="13.5" thickBot="1">
      <c r="C810" s="750" t="s">
        <v>88</v>
      </c>
      <c r="D810" s="1567" t="s">
        <v>819</v>
      </c>
      <c r="E810" s="1567"/>
      <c r="F810" s="1567"/>
      <c r="G810" s="1567"/>
      <c r="H810" s="1567"/>
      <c r="I810" s="1567"/>
      <c r="J810" s="731"/>
      <c r="K810" s="751" t="s">
        <v>230</v>
      </c>
      <c r="L810" s="752"/>
      <c r="M810" s="752"/>
      <c r="N810" s="753">
        <f>+N809-N808</f>
        <v>0</v>
      </c>
      <c r="O810" s="314"/>
    </row>
    <row r="811" spans="1:16">
      <c r="C811" s="754"/>
      <c r="D811" s="755"/>
      <c r="E811" s="735"/>
      <c r="F811" s="735"/>
      <c r="G811" s="756"/>
      <c r="H811" s="709"/>
      <c r="I811" s="709"/>
      <c r="J811" s="731"/>
      <c r="K811" s="709"/>
      <c r="L811" s="709"/>
      <c r="M811" s="709"/>
      <c r="N811" s="709"/>
      <c r="O811" s="314"/>
    </row>
    <row r="812" spans="1:16" ht="13.5" thickBot="1">
      <c r="C812" s="757"/>
      <c r="D812" s="758"/>
      <c r="E812" s="756"/>
      <c r="F812" s="756"/>
      <c r="G812" s="756"/>
      <c r="H812" s="756"/>
      <c r="I812" s="756"/>
      <c r="J812" s="759"/>
      <c r="K812" s="756"/>
      <c r="L812" s="756"/>
      <c r="M812" s="756"/>
      <c r="N812" s="756"/>
      <c r="O812" s="348"/>
    </row>
    <row r="813" spans="1:16" ht="13.5" thickBot="1">
      <c r="C813" s="760" t="s">
        <v>89</v>
      </c>
      <c r="D813" s="761"/>
      <c r="E813" s="761"/>
      <c r="F813" s="761"/>
      <c r="G813" s="761"/>
      <c r="H813" s="761"/>
      <c r="I813" s="762"/>
      <c r="J813" s="763"/>
      <c r="K813" s="314"/>
      <c r="L813" s="314"/>
      <c r="M813" s="314"/>
      <c r="N813" s="314"/>
      <c r="O813" s="764"/>
    </row>
    <row r="814" spans="1:16" ht="15">
      <c r="C814" s="765" t="s">
        <v>67</v>
      </c>
      <c r="D814" s="809">
        <v>2203092</v>
      </c>
      <c r="E814" s="726" t="s">
        <v>68</v>
      </c>
      <c r="G814" s="766"/>
      <c r="H814" s="766"/>
      <c r="I814" s="767">
        <f>$L$26</f>
        <v>2022</v>
      </c>
      <c r="J814" s="555"/>
      <c r="K814" s="1569" t="s">
        <v>239</v>
      </c>
      <c r="L814" s="1569"/>
      <c r="M814" s="1569"/>
      <c r="N814" s="1569"/>
      <c r="O814" s="1569"/>
    </row>
    <row r="815" spans="1:16">
      <c r="C815" s="765" t="s">
        <v>70</v>
      </c>
      <c r="D815" s="810">
        <v>2014</v>
      </c>
      <c r="E815" s="765" t="s">
        <v>71</v>
      </c>
      <c r="F815" s="766"/>
      <c r="H815" s="173"/>
      <c r="I815" s="811">
        <f>IF(G808="",0,$F$17)</f>
        <v>0</v>
      </c>
      <c r="J815" s="768"/>
      <c r="K815" s="731" t="s">
        <v>239</v>
      </c>
    </row>
    <row r="816" spans="1:16">
      <c r="C816" s="765" t="s">
        <v>72</v>
      </c>
      <c r="D816" s="809">
        <v>9</v>
      </c>
      <c r="E816" s="765" t="s">
        <v>73</v>
      </c>
      <c r="F816" s="766"/>
      <c r="H816" s="173"/>
      <c r="I816" s="769">
        <f>$G$70</f>
        <v>0.11129362813814259</v>
      </c>
      <c r="J816" s="770"/>
      <c r="K816" s="173" t="str">
        <f>"          INPUT PROJECTED ARR (WITH &amp; WITHOUT INCENTIVES) FROM EACH PRIOR YEAR"</f>
        <v xml:space="preserve">          INPUT PROJECTED ARR (WITH &amp; WITHOUT INCENTIVES) FROM EACH PRIOR YEAR</v>
      </c>
    </row>
    <row r="817" spans="2:15">
      <c r="C817" s="765" t="s">
        <v>74</v>
      </c>
      <c r="D817" s="771">
        <f>$G$79</f>
        <v>41</v>
      </c>
      <c r="E817" s="765" t="s">
        <v>75</v>
      </c>
      <c r="F817" s="766"/>
      <c r="H817" s="173"/>
      <c r="I817" s="769">
        <f>IF(G808="",I816,$G$69)</f>
        <v>0.11129362813814259</v>
      </c>
      <c r="J817" s="772"/>
      <c r="K817" s="173" t="s">
        <v>152</v>
      </c>
    </row>
    <row r="818" spans="2:15" ht="13.5" thickBot="1">
      <c r="C818" s="765" t="s">
        <v>76</v>
      </c>
      <c r="D818" s="808" t="s">
        <v>811</v>
      </c>
      <c r="E818" s="773" t="s">
        <v>77</v>
      </c>
      <c r="F818" s="774"/>
      <c r="G818" s="775"/>
      <c r="H818" s="775"/>
      <c r="I818" s="753">
        <f>IF(D814=0,0,D814/D817)</f>
        <v>53733.951219512193</v>
      </c>
      <c r="J818" s="731"/>
      <c r="K818" s="731" t="s">
        <v>158</v>
      </c>
      <c r="L818" s="731"/>
      <c r="M818" s="731"/>
      <c r="N818" s="731"/>
      <c r="O818" s="427"/>
    </row>
    <row r="819" spans="2:15" ht="38.25">
      <c r="B819" s="846"/>
      <c r="C819" s="776" t="s">
        <v>67</v>
      </c>
      <c r="D819" s="777" t="s">
        <v>78</v>
      </c>
      <c r="E819" s="778" t="s">
        <v>79</v>
      </c>
      <c r="F819" s="777" t="s">
        <v>80</v>
      </c>
      <c r="G819" s="778" t="s">
        <v>151</v>
      </c>
      <c r="H819" s="779" t="s">
        <v>151</v>
      </c>
      <c r="I819" s="776" t="s">
        <v>90</v>
      </c>
      <c r="J819" s="780"/>
      <c r="K819" s="778" t="s">
        <v>160</v>
      </c>
      <c r="L819" s="781"/>
      <c r="M819" s="778" t="s">
        <v>160</v>
      </c>
      <c r="N819" s="781"/>
      <c r="O819" s="781"/>
    </row>
    <row r="820" spans="2:15" ht="13.5" thickBot="1">
      <c r="C820" s="782" t="s">
        <v>469</v>
      </c>
      <c r="D820" s="783" t="s">
        <v>470</v>
      </c>
      <c r="E820" s="782" t="s">
        <v>363</v>
      </c>
      <c r="F820" s="783" t="s">
        <v>470</v>
      </c>
      <c r="G820" s="784" t="s">
        <v>93</v>
      </c>
      <c r="H820" s="785" t="s">
        <v>95</v>
      </c>
      <c r="I820" s="786" t="s">
        <v>15</v>
      </c>
      <c r="J820" s="787"/>
      <c r="K820" s="784" t="s">
        <v>82</v>
      </c>
      <c r="L820" s="788"/>
      <c r="M820" s="784" t="s">
        <v>95</v>
      </c>
      <c r="N820" s="788"/>
      <c r="O820" s="788"/>
    </row>
    <row r="821" spans="2:15">
      <c r="C821" s="789">
        <f>IF(D815= "","-",D815)</f>
        <v>2014</v>
      </c>
      <c r="D821" s="737">
        <f>+D814</f>
        <v>2203092</v>
      </c>
      <c r="E821" s="790">
        <f>+I818/12*(12-D816)</f>
        <v>13433.487804878048</v>
      </c>
      <c r="F821" s="737">
        <f>+D821-E821</f>
        <v>2189658.512195122</v>
      </c>
      <c r="G821" s="1001">
        <f>+$I$96*((D821+F821)/2)+E821</f>
        <v>257876.05880881764</v>
      </c>
      <c r="H821" s="1002">
        <f>$I$97*((D821+F821)/2)+E821</f>
        <v>257876.05880881764</v>
      </c>
      <c r="I821" s="793">
        <f>+H821-G821</f>
        <v>0</v>
      </c>
      <c r="J821" s="793"/>
      <c r="K821" s="812" t="s">
        <v>820</v>
      </c>
      <c r="L821" s="794"/>
      <c r="M821" s="812" t="s">
        <v>820</v>
      </c>
      <c r="N821" s="794"/>
      <c r="O821" s="794"/>
    </row>
    <row r="822" spans="2:15">
      <c r="C822" s="789">
        <f>IF(D815="","-",+C821+1)</f>
        <v>2015</v>
      </c>
      <c r="D822" s="737">
        <f t="shared" ref="D822:D880" si="48">F821</f>
        <v>2189658.512195122</v>
      </c>
      <c r="E822" s="790">
        <f>IF(D822&gt;$I$818,$I$818,D822)</f>
        <v>53733.951219512193</v>
      </c>
      <c r="F822" s="737">
        <f t="shared" ref="F822:F880" si="49">+D822-E822</f>
        <v>2135924.5609756098</v>
      </c>
      <c r="G822" s="795">
        <f t="shared" ref="G822:G880" si="50">+$I$96*((D822+F822)/2)+E822</f>
        <v>294438.86823256593</v>
      </c>
      <c r="H822" s="796">
        <f t="shared" ref="H822:H880" si="51">$I$97*((D822+F822)/2)+E822</f>
        <v>294438.86823256593</v>
      </c>
      <c r="I822" s="793">
        <f t="shared" ref="I822:I880" si="52">+H822-G822</f>
        <v>0</v>
      </c>
      <c r="J822" s="793"/>
      <c r="K822" s="813" t="s">
        <v>820</v>
      </c>
      <c r="L822" s="797"/>
      <c r="M822" s="813" t="s">
        <v>820</v>
      </c>
      <c r="N822" s="797"/>
      <c r="O822" s="797"/>
    </row>
    <row r="823" spans="2:15">
      <c r="C823" s="789">
        <f>IF(D815="","-",+C822+1)</f>
        <v>2016</v>
      </c>
      <c r="D823" s="737">
        <f t="shared" si="48"/>
        <v>2135924.5609756098</v>
      </c>
      <c r="E823" s="790">
        <f t="shared" ref="E823:E880" si="53">IF(D823&gt;$I$818,$I$818,D823)</f>
        <v>53733.951219512193</v>
      </c>
      <c r="F823" s="737">
        <f t="shared" si="49"/>
        <v>2082190.6097560977</v>
      </c>
      <c r="G823" s="795">
        <f t="shared" si="50"/>
        <v>288458.62184714846</v>
      </c>
      <c r="H823" s="796">
        <f t="shared" si="51"/>
        <v>288458.62184714846</v>
      </c>
      <c r="I823" s="793">
        <f t="shared" si="52"/>
        <v>0</v>
      </c>
      <c r="J823" s="793"/>
      <c r="K823" s="813">
        <v>1188</v>
      </c>
      <c r="L823" s="797"/>
      <c r="M823" s="813">
        <v>1188</v>
      </c>
      <c r="N823" s="797"/>
      <c r="O823" s="797"/>
    </row>
    <row r="824" spans="2:15">
      <c r="C824" s="789">
        <f>IF(D815="","-",+C823+1)</f>
        <v>2017</v>
      </c>
      <c r="D824" s="737">
        <f t="shared" si="48"/>
        <v>2082190.6097560977</v>
      </c>
      <c r="E824" s="790">
        <f t="shared" si="53"/>
        <v>53733.951219512193</v>
      </c>
      <c r="F824" s="737">
        <f t="shared" si="49"/>
        <v>2028456.6585365855</v>
      </c>
      <c r="G824" s="795">
        <f t="shared" si="50"/>
        <v>282478.37546173093</v>
      </c>
      <c r="H824" s="796">
        <f t="shared" si="51"/>
        <v>282478.37546173093</v>
      </c>
      <c r="I824" s="793">
        <f t="shared" si="52"/>
        <v>0</v>
      </c>
      <c r="J824" s="793"/>
      <c r="K824" s="813">
        <v>281554</v>
      </c>
      <c r="L824" s="797"/>
      <c r="M824" s="813">
        <v>281554</v>
      </c>
      <c r="N824" s="797"/>
      <c r="O824" s="797"/>
    </row>
    <row r="825" spans="2:15">
      <c r="C825" s="1311">
        <f>IF(D815="","-",+C824+1)</f>
        <v>2018</v>
      </c>
      <c r="D825" s="737">
        <f t="shared" si="48"/>
        <v>2028456.6585365855</v>
      </c>
      <c r="E825" s="790">
        <f t="shared" si="53"/>
        <v>53733.951219512193</v>
      </c>
      <c r="F825" s="737">
        <f t="shared" si="49"/>
        <v>1974722.7073170734</v>
      </c>
      <c r="G825" s="795">
        <f t="shared" si="50"/>
        <v>276498.12907631346</v>
      </c>
      <c r="H825" s="796">
        <f t="shared" si="51"/>
        <v>276498.12907631346</v>
      </c>
      <c r="I825" s="793">
        <f t="shared" si="52"/>
        <v>0</v>
      </c>
      <c r="J825" s="793"/>
      <c r="K825" s="813">
        <v>262335</v>
      </c>
      <c r="L825" s="797"/>
      <c r="M825" s="813">
        <v>262335</v>
      </c>
      <c r="N825" s="797"/>
      <c r="O825" s="797"/>
    </row>
    <row r="826" spans="2:15">
      <c r="C826" s="1307">
        <f>IF(D815="","-",+C825+1)</f>
        <v>2019</v>
      </c>
      <c r="D826" s="737">
        <f t="shared" si="48"/>
        <v>1974722.7073170734</v>
      </c>
      <c r="E826" s="790">
        <f t="shared" si="53"/>
        <v>53733.951219512193</v>
      </c>
      <c r="F826" s="737">
        <f t="shared" si="49"/>
        <v>1920988.7560975612</v>
      </c>
      <c r="G826" s="795">
        <f t="shared" si="50"/>
        <v>270517.88269089599</v>
      </c>
      <c r="H826" s="796">
        <f t="shared" si="51"/>
        <v>270517.88269089599</v>
      </c>
      <c r="I826" s="793">
        <f t="shared" si="52"/>
        <v>0</v>
      </c>
      <c r="J826" s="793"/>
      <c r="K826" s="813"/>
      <c r="L826" s="797"/>
      <c r="M826" s="813"/>
      <c r="N826" s="797"/>
      <c r="O826" s="797"/>
    </row>
    <row r="827" spans="2:15">
      <c r="C827" s="789">
        <f>IF(D815="","-",+C826+1)</f>
        <v>2020</v>
      </c>
      <c r="D827" s="737">
        <f t="shared" si="48"/>
        <v>1920988.7560975612</v>
      </c>
      <c r="E827" s="790">
        <f t="shared" si="53"/>
        <v>53733.951219512193</v>
      </c>
      <c r="F827" s="737">
        <f t="shared" si="49"/>
        <v>1867254.8048780491</v>
      </c>
      <c r="G827" s="795">
        <f t="shared" si="50"/>
        <v>264537.63630547852</v>
      </c>
      <c r="H827" s="796">
        <f t="shared" si="51"/>
        <v>264537.63630547852</v>
      </c>
      <c r="I827" s="793">
        <f t="shared" si="52"/>
        <v>0</v>
      </c>
      <c r="J827" s="793"/>
      <c r="K827" s="813"/>
      <c r="L827" s="797"/>
      <c r="M827" s="813"/>
      <c r="N827" s="797"/>
      <c r="O827" s="797"/>
    </row>
    <row r="828" spans="2:15">
      <c r="C828" s="789">
        <f>IF(D815="","-",+C827+1)</f>
        <v>2021</v>
      </c>
      <c r="D828" s="737">
        <f t="shared" si="48"/>
        <v>1867254.8048780491</v>
      </c>
      <c r="E828" s="790">
        <f t="shared" si="53"/>
        <v>53733.951219512193</v>
      </c>
      <c r="F828" s="737">
        <f t="shared" si="49"/>
        <v>1813520.8536585369</v>
      </c>
      <c r="G828" s="795">
        <f t="shared" si="50"/>
        <v>258557.38992006105</v>
      </c>
      <c r="H828" s="796">
        <f t="shared" si="51"/>
        <v>258557.38992006105</v>
      </c>
      <c r="I828" s="793">
        <f t="shared" si="52"/>
        <v>0</v>
      </c>
      <c r="J828" s="793"/>
      <c r="K828" s="813"/>
      <c r="L828" s="797"/>
      <c r="M828" s="813"/>
      <c r="N828" s="797"/>
      <c r="O828" s="797"/>
    </row>
    <row r="829" spans="2:15">
      <c r="C829" s="789">
        <f>IF(D815="","-",+C828+1)</f>
        <v>2022</v>
      </c>
      <c r="D829" s="737">
        <f t="shared" si="48"/>
        <v>1813520.8536585369</v>
      </c>
      <c r="E829" s="790">
        <f t="shared" si="53"/>
        <v>53733.951219512193</v>
      </c>
      <c r="F829" s="737">
        <f t="shared" si="49"/>
        <v>1759786.9024390248</v>
      </c>
      <c r="G829" s="795">
        <f t="shared" si="50"/>
        <v>252577.14353464358</v>
      </c>
      <c r="H829" s="796">
        <f t="shared" si="51"/>
        <v>252577.14353464358</v>
      </c>
      <c r="I829" s="793">
        <f t="shared" si="52"/>
        <v>0</v>
      </c>
      <c r="J829" s="793"/>
      <c r="K829" s="813"/>
      <c r="L829" s="797"/>
      <c r="M829" s="813"/>
      <c r="N829" s="797"/>
      <c r="O829" s="797"/>
    </row>
    <row r="830" spans="2:15">
      <c r="C830" s="789">
        <f>IF(D815="","-",+C829+1)</f>
        <v>2023</v>
      </c>
      <c r="D830" s="737">
        <f t="shared" si="48"/>
        <v>1759786.9024390248</v>
      </c>
      <c r="E830" s="790">
        <f t="shared" si="53"/>
        <v>53733.951219512193</v>
      </c>
      <c r="F830" s="737">
        <f t="shared" si="49"/>
        <v>1706052.9512195126</v>
      </c>
      <c r="G830" s="795">
        <f t="shared" si="50"/>
        <v>246596.8971492261</v>
      </c>
      <c r="H830" s="796">
        <f t="shared" si="51"/>
        <v>246596.8971492261</v>
      </c>
      <c r="I830" s="793">
        <f t="shared" si="52"/>
        <v>0</v>
      </c>
      <c r="J830" s="793"/>
      <c r="K830" s="813"/>
      <c r="L830" s="797"/>
      <c r="M830" s="813"/>
      <c r="N830" s="797"/>
      <c r="O830" s="797"/>
    </row>
    <row r="831" spans="2:15">
      <c r="C831" s="789">
        <f>IF(D815="","-",+C830+1)</f>
        <v>2024</v>
      </c>
      <c r="D831" s="737">
        <f t="shared" si="48"/>
        <v>1706052.9512195126</v>
      </c>
      <c r="E831" s="790">
        <f t="shared" si="53"/>
        <v>53733.951219512193</v>
      </c>
      <c r="F831" s="737">
        <f t="shared" si="49"/>
        <v>1652319.0000000005</v>
      </c>
      <c r="G831" s="795">
        <f t="shared" si="50"/>
        <v>240616.65076380863</v>
      </c>
      <c r="H831" s="796">
        <f t="shared" si="51"/>
        <v>240616.65076380863</v>
      </c>
      <c r="I831" s="793">
        <f t="shared" si="52"/>
        <v>0</v>
      </c>
      <c r="J831" s="793"/>
      <c r="K831" s="813"/>
      <c r="L831" s="797"/>
      <c r="M831" s="813"/>
      <c r="N831" s="797"/>
      <c r="O831" s="797"/>
    </row>
    <row r="832" spans="2:15">
      <c r="C832" s="789">
        <f>IF(D815="","-",+C831+1)</f>
        <v>2025</v>
      </c>
      <c r="D832" s="737">
        <f t="shared" si="48"/>
        <v>1652319.0000000005</v>
      </c>
      <c r="E832" s="790">
        <f t="shared" si="53"/>
        <v>53733.951219512193</v>
      </c>
      <c r="F832" s="737">
        <f t="shared" si="49"/>
        <v>1598585.0487804883</v>
      </c>
      <c r="G832" s="795">
        <f t="shared" si="50"/>
        <v>234636.4043783911</v>
      </c>
      <c r="H832" s="796">
        <f t="shared" si="51"/>
        <v>234636.4043783911</v>
      </c>
      <c r="I832" s="793">
        <f t="shared" si="52"/>
        <v>0</v>
      </c>
      <c r="J832" s="793"/>
      <c r="K832" s="813"/>
      <c r="L832" s="797"/>
      <c r="M832" s="813"/>
      <c r="N832" s="797"/>
      <c r="O832" s="797"/>
    </row>
    <row r="833" spans="3:15">
      <c r="C833" s="789">
        <f>IF(D815="","-",+C832+1)</f>
        <v>2026</v>
      </c>
      <c r="D833" s="737">
        <f t="shared" si="48"/>
        <v>1598585.0487804883</v>
      </c>
      <c r="E833" s="790">
        <f t="shared" si="53"/>
        <v>53733.951219512193</v>
      </c>
      <c r="F833" s="737">
        <f t="shared" si="49"/>
        <v>1544851.0975609762</v>
      </c>
      <c r="G833" s="795">
        <f t="shared" si="50"/>
        <v>228656.15799297363</v>
      </c>
      <c r="H833" s="796">
        <f t="shared" si="51"/>
        <v>228656.15799297363</v>
      </c>
      <c r="I833" s="793">
        <f t="shared" si="52"/>
        <v>0</v>
      </c>
      <c r="J833" s="793"/>
      <c r="K833" s="813"/>
      <c r="L833" s="797"/>
      <c r="M833" s="813"/>
      <c r="N833" s="798"/>
      <c r="O833" s="797"/>
    </row>
    <row r="834" spans="3:15">
      <c r="C834" s="789">
        <f>IF(D815="","-",+C833+1)</f>
        <v>2027</v>
      </c>
      <c r="D834" s="737">
        <f t="shared" si="48"/>
        <v>1544851.0975609762</v>
      </c>
      <c r="E834" s="790">
        <f t="shared" si="53"/>
        <v>53733.951219512193</v>
      </c>
      <c r="F834" s="737">
        <f t="shared" si="49"/>
        <v>1491117.146341464</v>
      </c>
      <c r="G834" s="795">
        <f t="shared" si="50"/>
        <v>222675.91160755616</v>
      </c>
      <c r="H834" s="796">
        <f t="shared" si="51"/>
        <v>222675.91160755616</v>
      </c>
      <c r="I834" s="793">
        <f t="shared" si="52"/>
        <v>0</v>
      </c>
      <c r="J834" s="793"/>
      <c r="K834" s="813"/>
      <c r="L834" s="797"/>
      <c r="M834" s="813"/>
      <c r="N834" s="797"/>
      <c r="O834" s="797"/>
    </row>
    <row r="835" spans="3:15">
      <c r="C835" s="789">
        <f>IF(D815="","-",+C834+1)</f>
        <v>2028</v>
      </c>
      <c r="D835" s="737">
        <f t="shared" si="48"/>
        <v>1491117.146341464</v>
      </c>
      <c r="E835" s="790">
        <f t="shared" si="53"/>
        <v>53733.951219512193</v>
      </c>
      <c r="F835" s="737">
        <f t="shared" si="49"/>
        <v>1437383.1951219519</v>
      </c>
      <c r="G835" s="795">
        <f t="shared" si="50"/>
        <v>216695.66522213869</v>
      </c>
      <c r="H835" s="796">
        <f t="shared" si="51"/>
        <v>216695.66522213869</v>
      </c>
      <c r="I835" s="793">
        <f t="shared" si="52"/>
        <v>0</v>
      </c>
      <c r="J835" s="793"/>
      <c r="K835" s="813"/>
      <c r="L835" s="797"/>
      <c r="M835" s="813"/>
      <c r="N835" s="797"/>
      <c r="O835" s="797"/>
    </row>
    <row r="836" spans="3:15">
      <c r="C836" s="789">
        <f>IF(D815="","-",+C835+1)</f>
        <v>2029</v>
      </c>
      <c r="D836" s="737">
        <f t="shared" si="48"/>
        <v>1437383.1951219519</v>
      </c>
      <c r="E836" s="790">
        <f t="shared" si="53"/>
        <v>53733.951219512193</v>
      </c>
      <c r="F836" s="737">
        <f t="shared" si="49"/>
        <v>1383649.2439024397</v>
      </c>
      <c r="G836" s="795">
        <f t="shared" si="50"/>
        <v>210715.41883672122</v>
      </c>
      <c r="H836" s="796">
        <f t="shared" si="51"/>
        <v>210715.41883672122</v>
      </c>
      <c r="I836" s="793">
        <f t="shared" si="52"/>
        <v>0</v>
      </c>
      <c r="J836" s="793"/>
      <c r="K836" s="813"/>
      <c r="L836" s="797"/>
      <c r="M836" s="813"/>
      <c r="N836" s="797"/>
      <c r="O836" s="797"/>
    </row>
    <row r="837" spans="3:15">
      <c r="C837" s="789">
        <f>IF(D815="","-",+C836+1)</f>
        <v>2030</v>
      </c>
      <c r="D837" s="737">
        <f t="shared" si="48"/>
        <v>1383649.2439024397</v>
      </c>
      <c r="E837" s="790">
        <f t="shared" si="53"/>
        <v>53733.951219512193</v>
      </c>
      <c r="F837" s="737">
        <f t="shared" si="49"/>
        <v>1329915.2926829276</v>
      </c>
      <c r="G837" s="795">
        <f t="shared" si="50"/>
        <v>204735.17245130375</v>
      </c>
      <c r="H837" s="796">
        <f t="shared" si="51"/>
        <v>204735.17245130375</v>
      </c>
      <c r="I837" s="793">
        <f t="shared" si="52"/>
        <v>0</v>
      </c>
      <c r="J837" s="793"/>
      <c r="K837" s="813"/>
      <c r="L837" s="797"/>
      <c r="M837" s="813"/>
      <c r="N837" s="797"/>
      <c r="O837" s="797"/>
    </row>
    <row r="838" spans="3:15">
      <c r="C838" s="789">
        <f>IF(D815="","-",+C837+1)</f>
        <v>2031</v>
      </c>
      <c r="D838" s="737">
        <f t="shared" si="48"/>
        <v>1329915.2926829276</v>
      </c>
      <c r="E838" s="790">
        <f t="shared" si="53"/>
        <v>53733.951219512193</v>
      </c>
      <c r="F838" s="737">
        <f t="shared" si="49"/>
        <v>1276181.3414634154</v>
      </c>
      <c r="G838" s="795">
        <f t="shared" si="50"/>
        <v>198754.92606588628</v>
      </c>
      <c r="H838" s="796">
        <f t="shared" si="51"/>
        <v>198754.92606588628</v>
      </c>
      <c r="I838" s="793">
        <f t="shared" si="52"/>
        <v>0</v>
      </c>
      <c r="J838" s="793"/>
      <c r="K838" s="813"/>
      <c r="L838" s="797"/>
      <c r="M838" s="813"/>
      <c r="N838" s="797"/>
      <c r="O838" s="797"/>
    </row>
    <row r="839" spans="3:15">
      <c r="C839" s="789">
        <f>IF(D815="","-",+C838+1)</f>
        <v>2032</v>
      </c>
      <c r="D839" s="737">
        <f t="shared" si="48"/>
        <v>1276181.3414634154</v>
      </c>
      <c r="E839" s="790">
        <f t="shared" si="53"/>
        <v>53733.951219512193</v>
      </c>
      <c r="F839" s="737">
        <f t="shared" si="49"/>
        <v>1222447.3902439033</v>
      </c>
      <c r="G839" s="795">
        <f t="shared" si="50"/>
        <v>192774.67968046875</v>
      </c>
      <c r="H839" s="796">
        <f t="shared" si="51"/>
        <v>192774.67968046875</v>
      </c>
      <c r="I839" s="793">
        <f t="shared" si="52"/>
        <v>0</v>
      </c>
      <c r="J839" s="793"/>
      <c r="K839" s="813"/>
      <c r="L839" s="797"/>
      <c r="M839" s="813"/>
      <c r="N839" s="797"/>
      <c r="O839" s="797"/>
    </row>
    <row r="840" spans="3:15">
      <c r="C840" s="789">
        <f>IF(D815="","-",+C839+1)</f>
        <v>2033</v>
      </c>
      <c r="D840" s="737">
        <f t="shared" si="48"/>
        <v>1222447.3902439033</v>
      </c>
      <c r="E840" s="790">
        <f t="shared" si="53"/>
        <v>53733.951219512193</v>
      </c>
      <c r="F840" s="737">
        <f t="shared" si="49"/>
        <v>1168713.4390243911</v>
      </c>
      <c r="G840" s="795">
        <f t="shared" si="50"/>
        <v>186794.43329505128</v>
      </c>
      <c r="H840" s="796">
        <f t="shared" si="51"/>
        <v>186794.43329505128</v>
      </c>
      <c r="I840" s="793">
        <f t="shared" si="52"/>
        <v>0</v>
      </c>
      <c r="J840" s="793"/>
      <c r="K840" s="813"/>
      <c r="L840" s="797"/>
      <c r="M840" s="813"/>
      <c r="N840" s="797"/>
      <c r="O840" s="797"/>
    </row>
    <row r="841" spans="3:15">
      <c r="C841" s="789">
        <f>IF(D815="","-",+C840+1)</f>
        <v>2034</v>
      </c>
      <c r="D841" s="737">
        <f t="shared" si="48"/>
        <v>1168713.4390243911</v>
      </c>
      <c r="E841" s="790">
        <f t="shared" si="53"/>
        <v>53733.951219512193</v>
      </c>
      <c r="F841" s="737">
        <f t="shared" si="49"/>
        <v>1114979.487804879</v>
      </c>
      <c r="G841" s="795">
        <f t="shared" si="50"/>
        <v>180814.18690963381</v>
      </c>
      <c r="H841" s="796">
        <f t="shared" si="51"/>
        <v>180814.18690963381</v>
      </c>
      <c r="I841" s="793">
        <f t="shared" si="52"/>
        <v>0</v>
      </c>
      <c r="J841" s="793"/>
      <c r="K841" s="813"/>
      <c r="L841" s="797"/>
      <c r="M841" s="813"/>
      <c r="N841" s="797"/>
      <c r="O841" s="797"/>
    </row>
    <row r="842" spans="3:15">
      <c r="C842" s="789">
        <f>IF(D815="","-",+C841+1)</f>
        <v>2035</v>
      </c>
      <c r="D842" s="737">
        <f t="shared" si="48"/>
        <v>1114979.487804879</v>
      </c>
      <c r="E842" s="790">
        <f t="shared" si="53"/>
        <v>53733.951219512193</v>
      </c>
      <c r="F842" s="737">
        <f t="shared" si="49"/>
        <v>1061245.5365853668</v>
      </c>
      <c r="G842" s="795">
        <f t="shared" si="50"/>
        <v>174833.94052421633</v>
      </c>
      <c r="H842" s="796">
        <f t="shared" si="51"/>
        <v>174833.94052421633</v>
      </c>
      <c r="I842" s="793">
        <f t="shared" si="52"/>
        <v>0</v>
      </c>
      <c r="J842" s="793"/>
      <c r="K842" s="813"/>
      <c r="L842" s="797"/>
      <c r="M842" s="813"/>
      <c r="N842" s="797"/>
      <c r="O842" s="797"/>
    </row>
    <row r="843" spans="3:15">
      <c r="C843" s="789">
        <f>IF(D815="","-",+C842+1)</f>
        <v>2036</v>
      </c>
      <c r="D843" s="737">
        <f t="shared" si="48"/>
        <v>1061245.5365853668</v>
      </c>
      <c r="E843" s="790">
        <f t="shared" si="53"/>
        <v>53733.951219512193</v>
      </c>
      <c r="F843" s="737">
        <f t="shared" si="49"/>
        <v>1007511.5853658547</v>
      </c>
      <c r="G843" s="795">
        <f t="shared" si="50"/>
        <v>168853.69413879886</v>
      </c>
      <c r="H843" s="796">
        <f t="shared" si="51"/>
        <v>168853.69413879886</v>
      </c>
      <c r="I843" s="793">
        <f t="shared" si="52"/>
        <v>0</v>
      </c>
      <c r="J843" s="793"/>
      <c r="K843" s="813"/>
      <c r="L843" s="797"/>
      <c r="M843" s="813"/>
      <c r="N843" s="797"/>
      <c r="O843" s="797"/>
    </row>
    <row r="844" spans="3:15">
      <c r="C844" s="789">
        <f>IF(D815="","-",+C843+1)</f>
        <v>2037</v>
      </c>
      <c r="D844" s="737">
        <f t="shared" si="48"/>
        <v>1007511.5853658547</v>
      </c>
      <c r="E844" s="790">
        <f t="shared" si="53"/>
        <v>53733.951219512193</v>
      </c>
      <c r="F844" s="737">
        <f t="shared" si="49"/>
        <v>953777.63414634252</v>
      </c>
      <c r="G844" s="795">
        <f t="shared" si="50"/>
        <v>162873.44775338139</v>
      </c>
      <c r="H844" s="796">
        <f t="shared" si="51"/>
        <v>162873.44775338139</v>
      </c>
      <c r="I844" s="793">
        <f t="shared" si="52"/>
        <v>0</v>
      </c>
      <c r="J844" s="793"/>
      <c r="K844" s="813"/>
      <c r="L844" s="797"/>
      <c r="M844" s="813"/>
      <c r="N844" s="797"/>
      <c r="O844" s="797"/>
    </row>
    <row r="845" spans="3:15">
      <c r="C845" s="789">
        <f>IF(D815="","-",+C844+1)</f>
        <v>2038</v>
      </c>
      <c r="D845" s="737">
        <f t="shared" si="48"/>
        <v>953777.63414634252</v>
      </c>
      <c r="E845" s="790">
        <f t="shared" si="53"/>
        <v>53733.951219512193</v>
      </c>
      <c r="F845" s="737">
        <f t="shared" si="49"/>
        <v>900043.68292683037</v>
      </c>
      <c r="G845" s="795">
        <f t="shared" si="50"/>
        <v>156893.20136796392</v>
      </c>
      <c r="H845" s="796">
        <f t="shared" si="51"/>
        <v>156893.20136796392</v>
      </c>
      <c r="I845" s="793">
        <f t="shared" si="52"/>
        <v>0</v>
      </c>
      <c r="J845" s="793"/>
      <c r="K845" s="813"/>
      <c r="L845" s="797"/>
      <c r="M845" s="813"/>
      <c r="N845" s="797"/>
      <c r="O845" s="797"/>
    </row>
    <row r="846" spans="3:15">
      <c r="C846" s="789">
        <f>IF(D815="","-",+C845+1)</f>
        <v>2039</v>
      </c>
      <c r="D846" s="737">
        <f t="shared" si="48"/>
        <v>900043.68292683037</v>
      </c>
      <c r="E846" s="790">
        <f t="shared" si="53"/>
        <v>53733.951219512193</v>
      </c>
      <c r="F846" s="737">
        <f t="shared" si="49"/>
        <v>846309.73170731822</v>
      </c>
      <c r="G846" s="795">
        <f t="shared" si="50"/>
        <v>150912.95498254642</v>
      </c>
      <c r="H846" s="796">
        <f t="shared" si="51"/>
        <v>150912.95498254642</v>
      </c>
      <c r="I846" s="793">
        <f t="shared" si="52"/>
        <v>0</v>
      </c>
      <c r="J846" s="793"/>
      <c r="K846" s="813"/>
      <c r="L846" s="797"/>
      <c r="M846" s="813"/>
      <c r="N846" s="797"/>
      <c r="O846" s="797"/>
    </row>
    <row r="847" spans="3:15">
      <c r="C847" s="789">
        <f>IF(D815="","-",+C846+1)</f>
        <v>2040</v>
      </c>
      <c r="D847" s="737">
        <f t="shared" si="48"/>
        <v>846309.73170731822</v>
      </c>
      <c r="E847" s="790">
        <f t="shared" si="53"/>
        <v>53733.951219512193</v>
      </c>
      <c r="F847" s="737">
        <f t="shared" si="49"/>
        <v>792575.78048780607</v>
      </c>
      <c r="G847" s="795">
        <f t="shared" si="50"/>
        <v>144932.70859712895</v>
      </c>
      <c r="H847" s="796">
        <f t="shared" si="51"/>
        <v>144932.70859712895</v>
      </c>
      <c r="I847" s="793">
        <f t="shared" si="52"/>
        <v>0</v>
      </c>
      <c r="J847" s="793"/>
      <c r="K847" s="813"/>
      <c r="L847" s="797"/>
      <c r="M847" s="813"/>
      <c r="N847" s="797"/>
      <c r="O847" s="797"/>
    </row>
    <row r="848" spans="3:15">
      <c r="C848" s="789">
        <f>IF(D815="","-",+C847+1)</f>
        <v>2041</v>
      </c>
      <c r="D848" s="737">
        <f t="shared" si="48"/>
        <v>792575.78048780607</v>
      </c>
      <c r="E848" s="790">
        <f t="shared" si="53"/>
        <v>53733.951219512193</v>
      </c>
      <c r="F848" s="737">
        <f t="shared" si="49"/>
        <v>738841.82926829392</v>
      </c>
      <c r="G848" s="795">
        <f t="shared" si="50"/>
        <v>138952.46221171145</v>
      </c>
      <c r="H848" s="796">
        <f t="shared" si="51"/>
        <v>138952.46221171145</v>
      </c>
      <c r="I848" s="793">
        <f t="shared" si="52"/>
        <v>0</v>
      </c>
      <c r="J848" s="793"/>
      <c r="K848" s="813"/>
      <c r="L848" s="797"/>
      <c r="M848" s="813"/>
      <c r="N848" s="797"/>
      <c r="O848" s="797"/>
    </row>
    <row r="849" spans="3:15">
      <c r="C849" s="789">
        <f>IF(D815="","-",+C848+1)</f>
        <v>2042</v>
      </c>
      <c r="D849" s="737">
        <f t="shared" si="48"/>
        <v>738841.82926829392</v>
      </c>
      <c r="E849" s="790">
        <f t="shared" si="53"/>
        <v>53733.951219512193</v>
      </c>
      <c r="F849" s="737">
        <f t="shared" si="49"/>
        <v>685107.87804878177</v>
      </c>
      <c r="G849" s="791">
        <f t="shared" si="50"/>
        <v>132972.21582629398</v>
      </c>
      <c r="H849" s="796">
        <f t="shared" si="51"/>
        <v>132972.21582629398</v>
      </c>
      <c r="I849" s="793">
        <f t="shared" si="52"/>
        <v>0</v>
      </c>
      <c r="J849" s="793"/>
      <c r="K849" s="813"/>
      <c r="L849" s="797"/>
      <c r="M849" s="813"/>
      <c r="N849" s="797"/>
      <c r="O849" s="797"/>
    </row>
    <row r="850" spans="3:15">
      <c r="C850" s="789">
        <f>IF(D815="","-",+C849+1)</f>
        <v>2043</v>
      </c>
      <c r="D850" s="737">
        <f t="shared" si="48"/>
        <v>685107.87804878177</v>
      </c>
      <c r="E850" s="790">
        <f t="shared" si="53"/>
        <v>53733.951219512193</v>
      </c>
      <c r="F850" s="737">
        <f t="shared" si="49"/>
        <v>631373.92682926962</v>
      </c>
      <c r="G850" s="795">
        <f t="shared" si="50"/>
        <v>126991.96944087651</v>
      </c>
      <c r="H850" s="796">
        <f t="shared" si="51"/>
        <v>126991.96944087651</v>
      </c>
      <c r="I850" s="793">
        <f t="shared" si="52"/>
        <v>0</v>
      </c>
      <c r="J850" s="793"/>
      <c r="K850" s="813"/>
      <c r="L850" s="797"/>
      <c r="M850" s="813"/>
      <c r="N850" s="797"/>
      <c r="O850" s="797"/>
    </row>
    <row r="851" spans="3:15">
      <c r="C851" s="789">
        <f>IF(D815="","-",+C850+1)</f>
        <v>2044</v>
      </c>
      <c r="D851" s="737">
        <f t="shared" si="48"/>
        <v>631373.92682926962</v>
      </c>
      <c r="E851" s="790">
        <f t="shared" si="53"/>
        <v>53733.951219512193</v>
      </c>
      <c r="F851" s="737">
        <f t="shared" si="49"/>
        <v>577639.97560975747</v>
      </c>
      <c r="G851" s="795">
        <f t="shared" si="50"/>
        <v>121011.72305545904</v>
      </c>
      <c r="H851" s="796">
        <f t="shared" si="51"/>
        <v>121011.72305545904</v>
      </c>
      <c r="I851" s="793">
        <f t="shared" si="52"/>
        <v>0</v>
      </c>
      <c r="J851" s="793"/>
      <c r="K851" s="813"/>
      <c r="L851" s="797"/>
      <c r="M851" s="813"/>
      <c r="N851" s="797"/>
      <c r="O851" s="797"/>
    </row>
    <row r="852" spans="3:15">
      <c r="C852" s="789">
        <f>IF(D815="","-",+C851+1)</f>
        <v>2045</v>
      </c>
      <c r="D852" s="737">
        <f t="shared" si="48"/>
        <v>577639.97560975747</v>
      </c>
      <c r="E852" s="790">
        <f t="shared" si="53"/>
        <v>53733.951219512193</v>
      </c>
      <c r="F852" s="737">
        <f t="shared" si="49"/>
        <v>523906.02439024526</v>
      </c>
      <c r="G852" s="795">
        <f t="shared" si="50"/>
        <v>115031.47667004156</v>
      </c>
      <c r="H852" s="796">
        <f t="shared" si="51"/>
        <v>115031.47667004156</v>
      </c>
      <c r="I852" s="793">
        <f t="shared" si="52"/>
        <v>0</v>
      </c>
      <c r="J852" s="793"/>
      <c r="K852" s="813"/>
      <c r="L852" s="797"/>
      <c r="M852" s="813"/>
      <c r="N852" s="797"/>
      <c r="O852" s="797"/>
    </row>
    <row r="853" spans="3:15">
      <c r="C853" s="789">
        <f>IF(D815="","-",+C852+1)</f>
        <v>2046</v>
      </c>
      <c r="D853" s="737">
        <f t="shared" si="48"/>
        <v>523906.02439024526</v>
      </c>
      <c r="E853" s="790">
        <f t="shared" si="53"/>
        <v>53733.951219512193</v>
      </c>
      <c r="F853" s="737">
        <f t="shared" si="49"/>
        <v>470172.07317073306</v>
      </c>
      <c r="G853" s="795">
        <f t="shared" si="50"/>
        <v>109051.23028462406</v>
      </c>
      <c r="H853" s="796">
        <f t="shared" si="51"/>
        <v>109051.23028462406</v>
      </c>
      <c r="I853" s="793">
        <f t="shared" si="52"/>
        <v>0</v>
      </c>
      <c r="J853" s="793"/>
      <c r="K853" s="813"/>
      <c r="L853" s="797"/>
      <c r="M853" s="813"/>
      <c r="N853" s="797"/>
      <c r="O853" s="797"/>
    </row>
    <row r="854" spans="3:15">
      <c r="C854" s="789">
        <f>IF(D815="","-",+C853+1)</f>
        <v>2047</v>
      </c>
      <c r="D854" s="737">
        <f t="shared" si="48"/>
        <v>470172.07317073306</v>
      </c>
      <c r="E854" s="790">
        <f t="shared" si="53"/>
        <v>53733.951219512193</v>
      </c>
      <c r="F854" s="737">
        <f t="shared" si="49"/>
        <v>416438.12195122085</v>
      </c>
      <c r="G854" s="795">
        <f t="shared" si="50"/>
        <v>103070.98389920659</v>
      </c>
      <c r="H854" s="796">
        <f t="shared" si="51"/>
        <v>103070.98389920659</v>
      </c>
      <c r="I854" s="793">
        <f t="shared" si="52"/>
        <v>0</v>
      </c>
      <c r="J854" s="793"/>
      <c r="K854" s="813"/>
      <c r="L854" s="797"/>
      <c r="M854" s="813"/>
      <c r="N854" s="797"/>
      <c r="O854" s="797"/>
    </row>
    <row r="855" spans="3:15">
      <c r="C855" s="789">
        <f>IF(D815="","-",+C854+1)</f>
        <v>2048</v>
      </c>
      <c r="D855" s="737">
        <f t="shared" si="48"/>
        <v>416438.12195122085</v>
      </c>
      <c r="E855" s="790">
        <f t="shared" si="53"/>
        <v>53733.951219512193</v>
      </c>
      <c r="F855" s="737">
        <f t="shared" si="49"/>
        <v>362704.17073170864</v>
      </c>
      <c r="G855" s="795">
        <f t="shared" si="50"/>
        <v>97090.737513789092</v>
      </c>
      <c r="H855" s="796">
        <f t="shared" si="51"/>
        <v>97090.737513789092</v>
      </c>
      <c r="I855" s="793">
        <f t="shared" si="52"/>
        <v>0</v>
      </c>
      <c r="J855" s="793"/>
      <c r="K855" s="813"/>
      <c r="L855" s="797"/>
      <c r="M855" s="813"/>
      <c r="N855" s="797"/>
      <c r="O855" s="797"/>
    </row>
    <row r="856" spans="3:15">
      <c r="C856" s="789">
        <f>IF(D815="","-",+C855+1)</f>
        <v>2049</v>
      </c>
      <c r="D856" s="737">
        <f t="shared" si="48"/>
        <v>362704.17073170864</v>
      </c>
      <c r="E856" s="790">
        <f t="shared" si="53"/>
        <v>53733.951219512193</v>
      </c>
      <c r="F856" s="737">
        <f t="shared" si="49"/>
        <v>308970.21951219643</v>
      </c>
      <c r="G856" s="795">
        <f t="shared" si="50"/>
        <v>91110.491128371621</v>
      </c>
      <c r="H856" s="796">
        <f t="shared" si="51"/>
        <v>91110.491128371621</v>
      </c>
      <c r="I856" s="793">
        <f t="shared" si="52"/>
        <v>0</v>
      </c>
      <c r="J856" s="793"/>
      <c r="K856" s="813"/>
      <c r="L856" s="797"/>
      <c r="M856" s="813"/>
      <c r="N856" s="797"/>
      <c r="O856" s="797"/>
    </row>
    <row r="857" spans="3:15">
      <c r="C857" s="789">
        <f>IF(D815="","-",+C856+1)</f>
        <v>2050</v>
      </c>
      <c r="D857" s="737">
        <f t="shared" si="48"/>
        <v>308970.21951219643</v>
      </c>
      <c r="E857" s="790">
        <f t="shared" si="53"/>
        <v>53733.951219512193</v>
      </c>
      <c r="F857" s="737">
        <f t="shared" si="49"/>
        <v>255236.26829268422</v>
      </c>
      <c r="G857" s="795">
        <f t="shared" si="50"/>
        <v>85130.244742954121</v>
      </c>
      <c r="H857" s="796">
        <f t="shared" si="51"/>
        <v>85130.244742954121</v>
      </c>
      <c r="I857" s="793">
        <f t="shared" si="52"/>
        <v>0</v>
      </c>
      <c r="J857" s="793"/>
      <c r="K857" s="813"/>
      <c r="L857" s="797"/>
      <c r="M857" s="813"/>
      <c r="N857" s="797"/>
      <c r="O857" s="797"/>
    </row>
    <row r="858" spans="3:15">
      <c r="C858" s="789">
        <f>IF(D815="","-",+C857+1)</f>
        <v>2051</v>
      </c>
      <c r="D858" s="737">
        <f t="shared" si="48"/>
        <v>255236.26829268422</v>
      </c>
      <c r="E858" s="790">
        <f t="shared" si="53"/>
        <v>53733.951219512193</v>
      </c>
      <c r="F858" s="737">
        <f t="shared" si="49"/>
        <v>201502.31707317202</v>
      </c>
      <c r="G858" s="795">
        <f t="shared" si="50"/>
        <v>79149.99835753665</v>
      </c>
      <c r="H858" s="796">
        <f t="shared" si="51"/>
        <v>79149.99835753665</v>
      </c>
      <c r="I858" s="793">
        <f t="shared" si="52"/>
        <v>0</v>
      </c>
      <c r="J858" s="793"/>
      <c r="K858" s="813"/>
      <c r="L858" s="797"/>
      <c r="M858" s="813"/>
      <c r="N858" s="797"/>
      <c r="O858" s="797"/>
    </row>
    <row r="859" spans="3:15">
      <c r="C859" s="789">
        <f>IF(D815="","-",+C858+1)</f>
        <v>2052</v>
      </c>
      <c r="D859" s="737">
        <f t="shared" si="48"/>
        <v>201502.31707317202</v>
      </c>
      <c r="E859" s="790">
        <f t="shared" si="53"/>
        <v>53733.951219512193</v>
      </c>
      <c r="F859" s="737">
        <f t="shared" si="49"/>
        <v>147768.36585365981</v>
      </c>
      <c r="G859" s="795">
        <f t="shared" si="50"/>
        <v>73169.751972119149</v>
      </c>
      <c r="H859" s="796">
        <f t="shared" si="51"/>
        <v>73169.751972119149</v>
      </c>
      <c r="I859" s="793">
        <f t="shared" si="52"/>
        <v>0</v>
      </c>
      <c r="J859" s="793"/>
      <c r="K859" s="813"/>
      <c r="L859" s="797"/>
      <c r="M859" s="813"/>
      <c r="N859" s="797"/>
      <c r="O859" s="797"/>
    </row>
    <row r="860" spans="3:15">
      <c r="C860" s="789">
        <f>IF(D815="","-",+C859+1)</f>
        <v>2053</v>
      </c>
      <c r="D860" s="737">
        <f t="shared" si="48"/>
        <v>147768.36585365981</v>
      </c>
      <c r="E860" s="790">
        <f t="shared" si="53"/>
        <v>53733.951219512193</v>
      </c>
      <c r="F860" s="737">
        <f t="shared" si="49"/>
        <v>94034.414634147615</v>
      </c>
      <c r="G860" s="795">
        <f t="shared" si="50"/>
        <v>67189.505586701678</v>
      </c>
      <c r="H860" s="796">
        <f t="shared" si="51"/>
        <v>67189.505586701678</v>
      </c>
      <c r="I860" s="793">
        <f t="shared" si="52"/>
        <v>0</v>
      </c>
      <c r="J860" s="793"/>
      <c r="K860" s="813"/>
      <c r="L860" s="797"/>
      <c r="M860" s="813"/>
      <c r="N860" s="797"/>
      <c r="O860" s="797"/>
    </row>
    <row r="861" spans="3:15">
      <c r="C861" s="789">
        <f>IF(D815="","-",+C860+1)</f>
        <v>2054</v>
      </c>
      <c r="D861" s="737">
        <f t="shared" si="48"/>
        <v>94034.414634147615</v>
      </c>
      <c r="E861" s="790">
        <f t="shared" si="53"/>
        <v>53733.951219512193</v>
      </c>
      <c r="F861" s="737">
        <f t="shared" si="49"/>
        <v>40300.463414635422</v>
      </c>
      <c r="G861" s="795">
        <f t="shared" si="50"/>
        <v>61209.259201284192</v>
      </c>
      <c r="H861" s="796">
        <f t="shared" si="51"/>
        <v>61209.259201284192</v>
      </c>
      <c r="I861" s="793">
        <f t="shared" si="52"/>
        <v>0</v>
      </c>
      <c r="J861" s="793"/>
      <c r="K861" s="813"/>
      <c r="L861" s="797"/>
      <c r="M861" s="813"/>
      <c r="N861" s="797"/>
      <c r="O861" s="797"/>
    </row>
    <row r="862" spans="3:15">
      <c r="C862" s="789">
        <f>IF(D815="","-",+C861+1)</f>
        <v>2055</v>
      </c>
      <c r="D862" s="737">
        <f t="shared" si="48"/>
        <v>40300.463414635422</v>
      </c>
      <c r="E862" s="790">
        <f t="shared" si="53"/>
        <v>40300.463414635422</v>
      </c>
      <c r="F862" s="737">
        <f t="shared" si="49"/>
        <v>0</v>
      </c>
      <c r="G862" s="795">
        <f t="shared" si="50"/>
        <v>42543.055809167046</v>
      </c>
      <c r="H862" s="796">
        <f t="shared" si="51"/>
        <v>42543.055809167046</v>
      </c>
      <c r="I862" s="793">
        <f t="shared" si="52"/>
        <v>0</v>
      </c>
      <c r="J862" s="793"/>
      <c r="K862" s="813"/>
      <c r="L862" s="797"/>
      <c r="M862" s="813"/>
      <c r="N862" s="797"/>
      <c r="O862" s="797"/>
    </row>
    <row r="863" spans="3:15">
      <c r="C863" s="789">
        <f>IF(D815="","-",+C862+1)</f>
        <v>2056</v>
      </c>
      <c r="D863" s="737">
        <f t="shared" si="48"/>
        <v>0</v>
      </c>
      <c r="E863" s="790">
        <f t="shared" si="53"/>
        <v>0</v>
      </c>
      <c r="F863" s="737">
        <f t="shared" si="49"/>
        <v>0</v>
      </c>
      <c r="G863" s="795">
        <f t="shared" si="50"/>
        <v>0</v>
      </c>
      <c r="H863" s="796">
        <f t="shared" si="51"/>
        <v>0</v>
      </c>
      <c r="I863" s="793">
        <f t="shared" si="52"/>
        <v>0</v>
      </c>
      <c r="J863" s="793"/>
      <c r="K863" s="813"/>
      <c r="L863" s="797"/>
      <c r="M863" s="813"/>
      <c r="N863" s="797"/>
      <c r="O863" s="797"/>
    </row>
    <row r="864" spans="3:15">
      <c r="C864" s="789">
        <f>IF(D815="","-",+C863+1)</f>
        <v>2057</v>
      </c>
      <c r="D864" s="737">
        <f t="shared" si="48"/>
        <v>0</v>
      </c>
      <c r="E864" s="790">
        <f t="shared" si="53"/>
        <v>0</v>
      </c>
      <c r="F864" s="737">
        <f t="shared" si="49"/>
        <v>0</v>
      </c>
      <c r="G864" s="795">
        <f t="shared" si="50"/>
        <v>0</v>
      </c>
      <c r="H864" s="796">
        <f t="shared" si="51"/>
        <v>0</v>
      </c>
      <c r="I864" s="793">
        <f t="shared" si="52"/>
        <v>0</v>
      </c>
      <c r="J864" s="793"/>
      <c r="K864" s="813"/>
      <c r="L864" s="797"/>
      <c r="M864" s="813"/>
      <c r="N864" s="797"/>
      <c r="O864" s="797"/>
    </row>
    <row r="865" spans="3:15">
      <c r="C865" s="789">
        <f>IF(D815="","-",+C864+1)</f>
        <v>2058</v>
      </c>
      <c r="D865" s="737">
        <f t="shared" si="48"/>
        <v>0</v>
      </c>
      <c r="E865" s="790">
        <f t="shared" si="53"/>
        <v>0</v>
      </c>
      <c r="F865" s="737">
        <f t="shared" si="49"/>
        <v>0</v>
      </c>
      <c r="G865" s="795">
        <f t="shared" si="50"/>
        <v>0</v>
      </c>
      <c r="H865" s="796">
        <f t="shared" si="51"/>
        <v>0</v>
      </c>
      <c r="I865" s="793">
        <f t="shared" si="52"/>
        <v>0</v>
      </c>
      <c r="J865" s="793"/>
      <c r="K865" s="813"/>
      <c r="L865" s="797"/>
      <c r="M865" s="813"/>
      <c r="N865" s="797"/>
      <c r="O865" s="797"/>
    </row>
    <row r="866" spans="3:15">
      <c r="C866" s="789">
        <f>IF(D815="","-",+C865+1)</f>
        <v>2059</v>
      </c>
      <c r="D866" s="737">
        <f t="shared" si="48"/>
        <v>0</v>
      </c>
      <c r="E866" s="790">
        <f t="shared" si="53"/>
        <v>0</v>
      </c>
      <c r="F866" s="737">
        <f t="shared" si="49"/>
        <v>0</v>
      </c>
      <c r="G866" s="795">
        <f t="shared" si="50"/>
        <v>0</v>
      </c>
      <c r="H866" s="796">
        <f t="shared" si="51"/>
        <v>0</v>
      </c>
      <c r="I866" s="793">
        <f t="shared" si="52"/>
        <v>0</v>
      </c>
      <c r="J866" s="793"/>
      <c r="K866" s="813"/>
      <c r="L866" s="797"/>
      <c r="M866" s="813"/>
      <c r="N866" s="797"/>
      <c r="O866" s="797"/>
    </row>
    <row r="867" spans="3:15">
      <c r="C867" s="789">
        <f>IF(D815="","-",+C866+1)</f>
        <v>2060</v>
      </c>
      <c r="D867" s="737">
        <f t="shared" si="48"/>
        <v>0</v>
      </c>
      <c r="E867" s="790">
        <f t="shared" si="53"/>
        <v>0</v>
      </c>
      <c r="F867" s="737">
        <f t="shared" si="49"/>
        <v>0</v>
      </c>
      <c r="G867" s="795">
        <f t="shared" si="50"/>
        <v>0</v>
      </c>
      <c r="H867" s="796">
        <f t="shared" si="51"/>
        <v>0</v>
      </c>
      <c r="I867" s="793">
        <f t="shared" si="52"/>
        <v>0</v>
      </c>
      <c r="J867" s="793"/>
      <c r="K867" s="813"/>
      <c r="L867" s="797"/>
      <c r="M867" s="813"/>
      <c r="N867" s="797"/>
      <c r="O867" s="797"/>
    </row>
    <row r="868" spans="3:15">
      <c r="C868" s="789">
        <f>IF(D815="","-",+C867+1)</f>
        <v>2061</v>
      </c>
      <c r="D868" s="737">
        <f t="shared" si="48"/>
        <v>0</v>
      </c>
      <c r="E868" s="790">
        <f t="shared" si="53"/>
        <v>0</v>
      </c>
      <c r="F868" s="737">
        <f t="shared" si="49"/>
        <v>0</v>
      </c>
      <c r="G868" s="795">
        <f t="shared" si="50"/>
        <v>0</v>
      </c>
      <c r="H868" s="796">
        <f t="shared" si="51"/>
        <v>0</v>
      </c>
      <c r="I868" s="793">
        <f t="shared" si="52"/>
        <v>0</v>
      </c>
      <c r="J868" s="793"/>
      <c r="K868" s="813"/>
      <c r="L868" s="797"/>
      <c r="M868" s="813"/>
      <c r="N868" s="797"/>
      <c r="O868" s="797"/>
    </row>
    <row r="869" spans="3:15">
      <c r="C869" s="789">
        <f>IF(D815="","-",+C868+1)</f>
        <v>2062</v>
      </c>
      <c r="D869" s="737">
        <f t="shared" si="48"/>
        <v>0</v>
      </c>
      <c r="E869" s="790">
        <f t="shared" si="53"/>
        <v>0</v>
      </c>
      <c r="F869" s="737">
        <f t="shared" si="49"/>
        <v>0</v>
      </c>
      <c r="G869" s="795">
        <f t="shared" si="50"/>
        <v>0</v>
      </c>
      <c r="H869" s="796">
        <f t="shared" si="51"/>
        <v>0</v>
      </c>
      <c r="I869" s="793">
        <f t="shared" si="52"/>
        <v>0</v>
      </c>
      <c r="J869" s="793"/>
      <c r="K869" s="813"/>
      <c r="L869" s="797"/>
      <c r="M869" s="813"/>
      <c r="N869" s="797"/>
      <c r="O869" s="797"/>
    </row>
    <row r="870" spans="3:15">
      <c r="C870" s="789">
        <f>IF(D815="","-",+C869+1)</f>
        <v>2063</v>
      </c>
      <c r="D870" s="737">
        <f t="shared" si="48"/>
        <v>0</v>
      </c>
      <c r="E870" s="790">
        <f t="shared" si="53"/>
        <v>0</v>
      </c>
      <c r="F870" s="737">
        <f t="shared" si="49"/>
        <v>0</v>
      </c>
      <c r="G870" s="795">
        <f t="shared" si="50"/>
        <v>0</v>
      </c>
      <c r="H870" s="796">
        <f t="shared" si="51"/>
        <v>0</v>
      </c>
      <c r="I870" s="793">
        <f t="shared" si="52"/>
        <v>0</v>
      </c>
      <c r="J870" s="793"/>
      <c r="K870" s="813"/>
      <c r="L870" s="797"/>
      <c r="M870" s="813"/>
      <c r="N870" s="797"/>
      <c r="O870" s="797"/>
    </row>
    <row r="871" spans="3:15">
      <c r="C871" s="789">
        <f>IF(D815="","-",+C870+1)</f>
        <v>2064</v>
      </c>
      <c r="D871" s="737">
        <f t="shared" si="48"/>
        <v>0</v>
      </c>
      <c r="E871" s="790">
        <f t="shared" si="53"/>
        <v>0</v>
      </c>
      <c r="F871" s="737">
        <f t="shared" si="49"/>
        <v>0</v>
      </c>
      <c r="G871" s="795">
        <f t="shared" si="50"/>
        <v>0</v>
      </c>
      <c r="H871" s="796">
        <f t="shared" si="51"/>
        <v>0</v>
      </c>
      <c r="I871" s="793">
        <f t="shared" si="52"/>
        <v>0</v>
      </c>
      <c r="J871" s="793"/>
      <c r="K871" s="813"/>
      <c r="L871" s="797"/>
      <c r="M871" s="813"/>
      <c r="N871" s="797"/>
      <c r="O871" s="797"/>
    </row>
    <row r="872" spans="3:15">
      <c r="C872" s="789">
        <f>IF(D815="","-",+C871+1)</f>
        <v>2065</v>
      </c>
      <c r="D872" s="737">
        <f t="shared" si="48"/>
        <v>0</v>
      </c>
      <c r="E872" s="790">
        <f t="shared" si="53"/>
        <v>0</v>
      </c>
      <c r="F872" s="737">
        <f t="shared" si="49"/>
        <v>0</v>
      </c>
      <c r="G872" s="795">
        <f t="shared" si="50"/>
        <v>0</v>
      </c>
      <c r="H872" s="796">
        <f t="shared" si="51"/>
        <v>0</v>
      </c>
      <c r="I872" s="793">
        <f t="shared" si="52"/>
        <v>0</v>
      </c>
      <c r="J872" s="793"/>
      <c r="K872" s="813"/>
      <c r="L872" s="797"/>
      <c r="M872" s="813"/>
      <c r="N872" s="797"/>
      <c r="O872" s="797"/>
    </row>
    <row r="873" spans="3:15">
      <c r="C873" s="789">
        <f>IF(D815="","-",+C872+1)</f>
        <v>2066</v>
      </c>
      <c r="D873" s="737">
        <f t="shared" si="48"/>
        <v>0</v>
      </c>
      <c r="E873" s="790">
        <f t="shared" si="53"/>
        <v>0</v>
      </c>
      <c r="F873" s="737">
        <f t="shared" si="49"/>
        <v>0</v>
      </c>
      <c r="G873" s="795">
        <f t="shared" si="50"/>
        <v>0</v>
      </c>
      <c r="H873" s="796">
        <f t="shared" si="51"/>
        <v>0</v>
      </c>
      <c r="I873" s="793">
        <f t="shared" si="52"/>
        <v>0</v>
      </c>
      <c r="J873" s="793"/>
      <c r="K873" s="813"/>
      <c r="L873" s="797"/>
      <c r="M873" s="813"/>
      <c r="N873" s="797"/>
      <c r="O873" s="797"/>
    </row>
    <row r="874" spans="3:15">
      <c r="C874" s="789">
        <f>IF(D815="","-",+C873+1)</f>
        <v>2067</v>
      </c>
      <c r="D874" s="737">
        <f t="shared" si="48"/>
        <v>0</v>
      </c>
      <c r="E874" s="790">
        <f t="shared" si="53"/>
        <v>0</v>
      </c>
      <c r="F874" s="737">
        <f t="shared" si="49"/>
        <v>0</v>
      </c>
      <c r="G874" s="795">
        <f t="shared" si="50"/>
        <v>0</v>
      </c>
      <c r="H874" s="796">
        <f t="shared" si="51"/>
        <v>0</v>
      </c>
      <c r="I874" s="793">
        <f t="shared" si="52"/>
        <v>0</v>
      </c>
      <c r="J874" s="793"/>
      <c r="K874" s="813"/>
      <c r="L874" s="797"/>
      <c r="M874" s="813"/>
      <c r="N874" s="797"/>
      <c r="O874" s="797"/>
    </row>
    <row r="875" spans="3:15">
      <c r="C875" s="789">
        <f>IF(D815="","-",+C874+1)</f>
        <v>2068</v>
      </c>
      <c r="D875" s="737">
        <f t="shared" si="48"/>
        <v>0</v>
      </c>
      <c r="E875" s="790">
        <f t="shared" si="53"/>
        <v>0</v>
      </c>
      <c r="F875" s="737">
        <f t="shared" si="49"/>
        <v>0</v>
      </c>
      <c r="G875" s="795">
        <f t="shared" si="50"/>
        <v>0</v>
      </c>
      <c r="H875" s="796">
        <f t="shared" si="51"/>
        <v>0</v>
      </c>
      <c r="I875" s="793">
        <f t="shared" si="52"/>
        <v>0</v>
      </c>
      <c r="J875" s="793"/>
      <c r="K875" s="813"/>
      <c r="L875" s="797"/>
      <c r="M875" s="813"/>
      <c r="N875" s="797"/>
      <c r="O875" s="797"/>
    </row>
    <row r="876" spans="3:15">
      <c r="C876" s="789">
        <f>IF(D815="","-",+C875+1)</f>
        <v>2069</v>
      </c>
      <c r="D876" s="737">
        <f t="shared" si="48"/>
        <v>0</v>
      </c>
      <c r="E876" s="790">
        <f t="shared" si="53"/>
        <v>0</v>
      </c>
      <c r="F876" s="737">
        <f t="shared" si="49"/>
        <v>0</v>
      </c>
      <c r="G876" s="795">
        <f t="shared" si="50"/>
        <v>0</v>
      </c>
      <c r="H876" s="796">
        <f t="shared" si="51"/>
        <v>0</v>
      </c>
      <c r="I876" s="793">
        <f t="shared" si="52"/>
        <v>0</v>
      </c>
      <c r="J876" s="793"/>
      <c r="K876" s="813"/>
      <c r="L876" s="797"/>
      <c r="M876" s="813"/>
      <c r="N876" s="797"/>
      <c r="O876" s="797"/>
    </row>
    <row r="877" spans="3:15">
      <c r="C877" s="789">
        <f>IF(D815="","-",+C876+1)</f>
        <v>2070</v>
      </c>
      <c r="D877" s="737">
        <f t="shared" si="48"/>
        <v>0</v>
      </c>
      <c r="E877" s="790">
        <f t="shared" si="53"/>
        <v>0</v>
      </c>
      <c r="F877" s="737">
        <f t="shared" si="49"/>
        <v>0</v>
      </c>
      <c r="G877" s="795">
        <f t="shared" si="50"/>
        <v>0</v>
      </c>
      <c r="H877" s="796">
        <f t="shared" si="51"/>
        <v>0</v>
      </c>
      <c r="I877" s="793">
        <f t="shared" si="52"/>
        <v>0</v>
      </c>
      <c r="J877" s="793"/>
      <c r="K877" s="813"/>
      <c r="L877" s="797"/>
      <c r="M877" s="813"/>
      <c r="N877" s="797"/>
      <c r="O877" s="797"/>
    </row>
    <row r="878" spans="3:15">
      <c r="C878" s="789">
        <f>IF(D815="","-",+C877+1)</f>
        <v>2071</v>
      </c>
      <c r="D878" s="737">
        <f t="shared" si="48"/>
        <v>0</v>
      </c>
      <c r="E878" s="790">
        <f t="shared" si="53"/>
        <v>0</v>
      </c>
      <c r="F878" s="737">
        <f t="shared" si="49"/>
        <v>0</v>
      </c>
      <c r="G878" s="795">
        <f t="shared" si="50"/>
        <v>0</v>
      </c>
      <c r="H878" s="796">
        <f t="shared" si="51"/>
        <v>0</v>
      </c>
      <c r="I878" s="793">
        <f t="shared" si="52"/>
        <v>0</v>
      </c>
      <c r="J878" s="793"/>
      <c r="K878" s="813"/>
      <c r="L878" s="797"/>
      <c r="M878" s="813"/>
      <c r="N878" s="797"/>
      <c r="O878" s="797"/>
    </row>
    <row r="879" spans="3:15">
      <c r="C879" s="789">
        <f>IF(D815="","-",+C878+1)</f>
        <v>2072</v>
      </c>
      <c r="D879" s="737">
        <f t="shared" si="48"/>
        <v>0</v>
      </c>
      <c r="E879" s="790">
        <f t="shared" si="53"/>
        <v>0</v>
      </c>
      <c r="F879" s="737">
        <f t="shared" si="49"/>
        <v>0</v>
      </c>
      <c r="G879" s="795">
        <f t="shared" si="50"/>
        <v>0</v>
      </c>
      <c r="H879" s="796">
        <f t="shared" si="51"/>
        <v>0</v>
      </c>
      <c r="I879" s="793">
        <f t="shared" si="52"/>
        <v>0</v>
      </c>
      <c r="J879" s="793"/>
      <c r="K879" s="813"/>
      <c r="L879" s="797"/>
      <c r="M879" s="813"/>
      <c r="N879" s="797"/>
      <c r="O879" s="797"/>
    </row>
    <row r="880" spans="3:15" ht="13.5" thickBot="1">
      <c r="C880" s="799">
        <f>IF(D815="","-",+C879+1)</f>
        <v>2073</v>
      </c>
      <c r="D880" s="800">
        <f t="shared" si="48"/>
        <v>0</v>
      </c>
      <c r="E880" s="801">
        <f t="shared" si="53"/>
        <v>0</v>
      </c>
      <c r="F880" s="800">
        <f t="shared" si="49"/>
        <v>0</v>
      </c>
      <c r="G880" s="802">
        <f t="shared" si="50"/>
        <v>0</v>
      </c>
      <c r="H880" s="802">
        <f t="shared" si="51"/>
        <v>0</v>
      </c>
      <c r="I880" s="803">
        <f t="shared" si="52"/>
        <v>0</v>
      </c>
      <c r="J880" s="793"/>
      <c r="K880" s="814"/>
      <c r="L880" s="804"/>
      <c r="M880" s="814"/>
      <c r="N880" s="804"/>
      <c r="O880" s="804"/>
    </row>
    <row r="881" spans="1:16">
      <c r="C881" s="737" t="s">
        <v>83</v>
      </c>
      <c r="D881" s="731"/>
      <c r="E881" s="731">
        <f>SUM(E821:E880)</f>
        <v>2203092</v>
      </c>
      <c r="F881" s="731"/>
      <c r="G881" s="731">
        <f>SUM(G821:G880)</f>
        <v>7413381.6632949878</v>
      </c>
      <c r="H881" s="731">
        <f>SUM(H821:H880)</f>
        <v>7413381.6632949878</v>
      </c>
      <c r="I881" s="731">
        <f>SUM(I821:I880)</f>
        <v>0</v>
      </c>
      <c r="J881" s="731"/>
      <c r="K881" s="731"/>
      <c r="L881" s="731"/>
      <c r="M881" s="731"/>
      <c r="N881" s="731"/>
      <c r="O881" s="314"/>
    </row>
    <row r="882" spans="1:16">
      <c r="D882" s="539"/>
      <c r="E882" s="314"/>
      <c r="F882" s="314"/>
      <c r="G882" s="314"/>
      <c r="H882" s="709"/>
      <c r="I882" s="709"/>
      <c r="J882" s="731"/>
      <c r="K882" s="709"/>
      <c r="L882" s="709"/>
      <c r="M882" s="709"/>
      <c r="N882" s="709"/>
      <c r="O882" s="314"/>
    </row>
    <row r="883" spans="1:16">
      <c r="C883" s="314" t="s">
        <v>13</v>
      </c>
      <c r="D883" s="539"/>
      <c r="E883" s="314"/>
      <c r="F883" s="314"/>
      <c r="G883" s="314"/>
      <c r="H883" s="709"/>
      <c r="I883" s="709"/>
      <c r="J883" s="731"/>
      <c r="K883" s="709"/>
      <c r="L883" s="709"/>
      <c r="M883" s="709"/>
      <c r="N883" s="709"/>
      <c r="O883" s="314"/>
    </row>
    <row r="884" spans="1:16">
      <c r="C884" s="314"/>
      <c r="D884" s="539"/>
      <c r="E884" s="314"/>
      <c r="F884" s="314"/>
      <c r="G884" s="314"/>
      <c r="H884" s="709"/>
      <c r="I884" s="709"/>
      <c r="J884" s="731"/>
      <c r="K884" s="709"/>
      <c r="L884" s="709"/>
      <c r="M884" s="709"/>
      <c r="N884" s="709"/>
      <c r="O884" s="314"/>
    </row>
    <row r="885" spans="1:16">
      <c r="C885" s="750" t="s">
        <v>14</v>
      </c>
      <c r="D885" s="737"/>
      <c r="E885" s="737"/>
      <c r="F885" s="737"/>
      <c r="G885" s="731"/>
      <c r="H885" s="731"/>
      <c r="I885" s="805"/>
      <c r="J885" s="805"/>
      <c r="K885" s="805"/>
      <c r="L885" s="805"/>
      <c r="M885" s="805"/>
      <c r="N885" s="805"/>
      <c r="O885" s="314"/>
    </row>
    <row r="886" spans="1:16">
      <c r="C886" s="736" t="s">
        <v>263</v>
      </c>
      <c r="D886" s="737"/>
      <c r="E886" s="737"/>
      <c r="F886" s="737"/>
      <c r="G886" s="731"/>
      <c r="H886" s="731"/>
      <c r="I886" s="805"/>
      <c r="J886" s="805"/>
      <c r="K886" s="805"/>
      <c r="L886" s="805"/>
      <c r="M886" s="805"/>
      <c r="N886" s="805"/>
      <c r="O886" s="314"/>
    </row>
    <row r="887" spans="1:16">
      <c r="C887" s="736" t="s">
        <v>84</v>
      </c>
      <c r="D887" s="737"/>
      <c r="E887" s="737"/>
      <c r="F887" s="737"/>
      <c r="G887" s="731"/>
      <c r="H887" s="731"/>
      <c r="I887" s="805"/>
      <c r="J887" s="805"/>
      <c r="K887" s="805"/>
      <c r="L887" s="805"/>
      <c r="M887" s="805"/>
      <c r="N887" s="805"/>
      <c r="O887" s="314"/>
    </row>
    <row r="888" spans="1:16">
      <c r="C888" s="736"/>
      <c r="D888" s="737"/>
      <c r="E888" s="737"/>
      <c r="F888" s="737"/>
      <c r="G888" s="731"/>
      <c r="H888" s="731"/>
      <c r="I888" s="805"/>
      <c r="J888" s="805"/>
      <c r="K888" s="805"/>
      <c r="L888" s="805"/>
      <c r="M888" s="805"/>
      <c r="N888" s="805"/>
      <c r="O888" s="314"/>
    </row>
    <row r="889" spans="1:16">
      <c r="C889" s="1568" t="s">
        <v>6</v>
      </c>
      <c r="D889" s="1568"/>
      <c r="E889" s="1568"/>
      <c r="F889" s="1568"/>
      <c r="G889" s="1568"/>
      <c r="H889" s="1568"/>
      <c r="I889" s="1568"/>
      <c r="J889" s="1568"/>
      <c r="K889" s="1568"/>
      <c r="L889" s="1568"/>
      <c r="M889" s="1568"/>
      <c r="N889" s="1568"/>
      <c r="O889" s="1568"/>
    </row>
    <row r="890" spans="1:16">
      <c r="C890" s="1568"/>
      <c r="D890" s="1568"/>
      <c r="E890" s="1568"/>
      <c r="F890" s="1568"/>
      <c r="G890" s="1568"/>
      <c r="H890" s="1568"/>
      <c r="I890" s="1568"/>
      <c r="J890" s="1568"/>
      <c r="K890" s="1568"/>
      <c r="L890" s="1568"/>
      <c r="M890" s="1568"/>
      <c r="N890" s="1568"/>
      <c r="O890" s="1568"/>
    </row>
    <row r="891" spans="1:16">
      <c r="C891" s="736"/>
      <c r="D891" s="737"/>
      <c r="E891" s="737"/>
      <c r="F891" s="737"/>
      <c r="G891" s="731"/>
      <c r="H891" s="731"/>
    </row>
    <row r="892" spans="1:16" ht="20.25">
      <c r="A892" s="738" t="str">
        <f>""&amp;A816&amp;" Worksheet J -  ATRR PROJECTED Calculation for PJM Projects Charged to Benefiting Zones"</f>
        <v xml:space="preserve"> Worksheet J -  ATRR PROJECTED Calculation for PJM Projects Charged to Benefiting Zones</v>
      </c>
      <c r="B892" s="348"/>
      <c r="C892" s="726"/>
      <c r="D892" s="539"/>
      <c r="E892" s="314"/>
      <c r="F892" s="708"/>
      <c r="G892" s="314"/>
      <c r="H892" s="709"/>
      <c r="K892" s="565"/>
      <c r="L892" s="565"/>
      <c r="M892" s="565"/>
      <c r="N892" s="654" t="str">
        <f>"Page "&amp;SUM(P$8:P892)&amp;" of "</f>
        <v xml:space="preserve">Page 11 of </v>
      </c>
      <c r="O892" s="655">
        <f>COUNT(P$8:P$56653)</f>
        <v>12</v>
      </c>
      <c r="P892" s="739">
        <v>1</v>
      </c>
    </row>
    <row r="893" spans="1:16">
      <c r="B893" s="348"/>
      <c r="C893" s="314"/>
      <c r="D893" s="539"/>
      <c r="E893" s="314"/>
      <c r="F893" s="314"/>
      <c r="G893" s="314"/>
      <c r="H893" s="709"/>
      <c r="I893" s="314"/>
      <c r="J893" s="427"/>
      <c r="K893" s="314"/>
      <c r="L893" s="314"/>
      <c r="M893" s="314"/>
      <c r="N893" s="314"/>
      <c r="O893" s="314"/>
      <c r="P893" s="427"/>
    </row>
    <row r="894" spans="1:16" ht="18">
      <c r="B894" s="658" t="s">
        <v>466</v>
      </c>
      <c r="C894" s="740" t="s">
        <v>85</v>
      </c>
      <c r="D894" s="539"/>
      <c r="E894" s="314"/>
      <c r="F894" s="314"/>
      <c r="G894" s="314"/>
      <c r="H894" s="709"/>
      <c r="I894" s="709"/>
      <c r="J894" s="731"/>
      <c r="K894" s="709"/>
      <c r="L894" s="709"/>
      <c r="M894" s="709"/>
      <c r="N894" s="709"/>
      <c r="O894" s="314"/>
    </row>
    <row r="895" spans="1:16" ht="18.75">
      <c r="B895" s="658"/>
      <c r="C895" s="657"/>
      <c r="D895" s="539"/>
      <c r="E895" s="314"/>
      <c r="F895" s="314"/>
      <c r="G895" s="314"/>
      <c r="H895" s="709"/>
      <c r="I895" s="709"/>
      <c r="J895" s="731"/>
      <c r="K895" s="709"/>
      <c r="L895" s="709"/>
      <c r="M895" s="709"/>
      <c r="N895" s="709"/>
      <c r="O895" s="314"/>
    </row>
    <row r="896" spans="1:16" ht="18.75">
      <c r="B896" s="658"/>
      <c r="C896" s="657" t="s">
        <v>86</v>
      </c>
      <c r="D896" s="539"/>
      <c r="E896" s="314"/>
      <c r="F896" s="314"/>
      <c r="G896" s="314"/>
      <c r="H896" s="709"/>
      <c r="I896" s="709"/>
      <c r="J896" s="731"/>
      <c r="K896" s="709"/>
      <c r="L896" s="709"/>
      <c r="M896" s="709"/>
      <c r="N896" s="709"/>
      <c r="O896" s="314"/>
    </row>
    <row r="897" spans="2:15" ht="15.75" thickBot="1">
      <c r="C897" s="240"/>
      <c r="D897" s="539"/>
      <c r="E897" s="314"/>
      <c r="F897" s="314"/>
      <c r="G897" s="314"/>
      <c r="H897" s="709"/>
      <c r="I897" s="709"/>
      <c r="J897" s="731"/>
      <c r="K897" s="709"/>
      <c r="L897" s="709"/>
      <c r="M897" s="709"/>
      <c r="N897" s="709"/>
      <c r="O897" s="314"/>
    </row>
    <row r="898" spans="2:15" ht="15.75">
      <c r="C898" s="660" t="s">
        <v>87</v>
      </c>
      <c r="D898" s="539"/>
      <c r="E898" s="314"/>
      <c r="F898" s="314"/>
      <c r="G898" s="807"/>
      <c r="H898" s="314" t="s">
        <v>66</v>
      </c>
      <c r="I898" s="314"/>
      <c r="J898" s="427"/>
      <c r="K898" s="741" t="s">
        <v>91</v>
      </c>
      <c r="L898" s="742"/>
      <c r="M898" s="743"/>
      <c r="N898" s="744">
        <f>IF(I904=0,0,VLOOKUP(I904,C911:O970,5))</f>
        <v>1495686.5921179296</v>
      </c>
      <c r="O898" s="314"/>
    </row>
    <row r="899" spans="2:15" ht="15.75">
      <c r="C899" s="660"/>
      <c r="D899" s="539"/>
      <c r="E899" s="314"/>
      <c r="F899" s="314"/>
      <c r="G899" s="314"/>
      <c r="H899" s="745"/>
      <c r="I899" s="745"/>
      <c r="J899" s="746"/>
      <c r="K899" s="747" t="s">
        <v>92</v>
      </c>
      <c r="L899" s="748"/>
      <c r="M899" s="427"/>
      <c r="N899" s="749">
        <f>IF(I904=0,0,VLOOKUP(I904,C911:O970,6))</f>
        <v>1495686.5921179296</v>
      </c>
      <c r="O899" s="314"/>
    </row>
    <row r="900" spans="2:15" ht="13.5" thickBot="1">
      <c r="C900" s="750" t="s">
        <v>88</v>
      </c>
      <c r="D900" s="1567" t="s">
        <v>821</v>
      </c>
      <c r="E900" s="1567"/>
      <c r="F900" s="1567"/>
      <c r="G900" s="1567"/>
      <c r="H900" s="1567"/>
      <c r="I900" s="1567"/>
      <c r="J900" s="731"/>
      <c r="K900" s="751" t="s">
        <v>230</v>
      </c>
      <c r="L900" s="752"/>
      <c r="M900" s="752"/>
      <c r="N900" s="753">
        <f>+N899-N898</f>
        <v>0</v>
      </c>
      <c r="O900" s="314"/>
    </row>
    <row r="901" spans="2:15">
      <c r="C901" s="754"/>
      <c r="D901" s="755"/>
      <c r="E901" s="735"/>
      <c r="F901" s="735"/>
      <c r="G901" s="756"/>
      <c r="H901" s="709"/>
      <c r="I901" s="709"/>
      <c r="J901" s="731"/>
      <c r="K901" s="709"/>
      <c r="L901" s="709"/>
      <c r="M901" s="709"/>
      <c r="N901" s="709"/>
      <c r="O901" s="314"/>
    </row>
    <row r="902" spans="2:15" ht="13.5" thickBot="1">
      <c r="C902" s="757"/>
      <c r="D902" s="758"/>
      <c r="E902" s="756"/>
      <c r="F902" s="756"/>
      <c r="G902" s="756"/>
      <c r="H902" s="756"/>
      <c r="I902" s="756"/>
      <c r="J902" s="759"/>
      <c r="K902" s="756"/>
      <c r="L902" s="756"/>
      <c r="M902" s="756"/>
      <c r="N902" s="756"/>
      <c r="O902" s="348"/>
    </row>
    <row r="903" spans="2:15" ht="13.5" thickBot="1">
      <c r="C903" s="760" t="s">
        <v>89</v>
      </c>
      <c r="D903" s="761"/>
      <c r="E903" s="761"/>
      <c r="F903" s="761"/>
      <c r="G903" s="761"/>
      <c r="H903" s="761"/>
      <c r="I903" s="762"/>
      <c r="J903" s="763"/>
      <c r="K903" s="314"/>
      <c r="L903" s="314"/>
      <c r="M903" s="314"/>
      <c r="N903" s="314"/>
      <c r="O903" s="764"/>
    </row>
    <row r="904" spans="2:15" ht="15">
      <c r="C904" s="765" t="s">
        <v>67</v>
      </c>
      <c r="D904" s="809">
        <v>12409450</v>
      </c>
      <c r="E904" s="726" t="s">
        <v>68</v>
      </c>
      <c r="G904" s="766"/>
      <c r="H904" s="766"/>
      <c r="I904" s="767">
        <f>$L$26</f>
        <v>2022</v>
      </c>
      <c r="J904" s="555"/>
      <c r="K904" s="1569" t="s">
        <v>239</v>
      </c>
      <c r="L904" s="1569"/>
      <c r="M904" s="1569"/>
      <c r="N904" s="1569"/>
      <c r="O904" s="1569"/>
    </row>
    <row r="905" spans="2:15">
      <c r="C905" s="765" t="s">
        <v>70</v>
      </c>
      <c r="D905" s="810">
        <v>2016</v>
      </c>
      <c r="E905" s="765" t="s">
        <v>71</v>
      </c>
      <c r="F905" s="766"/>
      <c r="H905" s="173"/>
      <c r="I905" s="811">
        <f>IF(G898="",0,$F$17)</f>
        <v>0</v>
      </c>
      <c r="J905" s="768"/>
      <c r="K905" s="731" t="s">
        <v>239</v>
      </c>
    </row>
    <row r="906" spans="2:15">
      <c r="C906" s="765" t="s">
        <v>72</v>
      </c>
      <c r="D906" s="809">
        <v>11</v>
      </c>
      <c r="E906" s="765" t="s">
        <v>73</v>
      </c>
      <c r="F906" s="766"/>
      <c r="H906" s="173"/>
      <c r="I906" s="769">
        <f>$G$70</f>
        <v>0.11129362813814259</v>
      </c>
      <c r="J906" s="770"/>
      <c r="K906" s="173" t="str">
        <f>"          INPUT PROJECTED ARR (WITH &amp; WITHOUT INCENTIVES) FROM EACH PRIOR YEAR"</f>
        <v xml:space="preserve">          INPUT PROJECTED ARR (WITH &amp; WITHOUT INCENTIVES) FROM EACH PRIOR YEAR</v>
      </c>
    </row>
    <row r="907" spans="2:15">
      <c r="C907" s="765" t="s">
        <v>74</v>
      </c>
      <c r="D907" s="771">
        <f>$G$79</f>
        <v>41</v>
      </c>
      <c r="E907" s="765" t="s">
        <v>75</v>
      </c>
      <c r="F907" s="766"/>
      <c r="H907" s="173"/>
      <c r="I907" s="769">
        <f>IF(G898="",I906,$G$69)</f>
        <v>0.11129362813814259</v>
      </c>
      <c r="J907" s="772"/>
      <c r="K907" s="173" t="s">
        <v>152</v>
      </c>
    </row>
    <row r="908" spans="2:15" ht="13.5" thickBot="1">
      <c r="C908" s="765" t="s">
        <v>76</v>
      </c>
      <c r="D908" s="808" t="s">
        <v>811</v>
      </c>
      <c r="E908" s="773" t="s">
        <v>77</v>
      </c>
      <c r="F908" s="774"/>
      <c r="G908" s="775"/>
      <c r="H908" s="775"/>
      <c r="I908" s="753">
        <f>IF(D904=0,0,D904/D907)</f>
        <v>302669.51219512196</v>
      </c>
      <c r="J908" s="731"/>
      <c r="K908" s="731" t="s">
        <v>158</v>
      </c>
      <c r="L908" s="731"/>
      <c r="M908" s="731"/>
      <c r="N908" s="731"/>
      <c r="O908" s="427"/>
    </row>
    <row r="909" spans="2:15" ht="38.25">
      <c r="B909" s="846"/>
      <c r="C909" s="776" t="s">
        <v>67</v>
      </c>
      <c r="D909" s="777" t="s">
        <v>78</v>
      </c>
      <c r="E909" s="778" t="s">
        <v>79</v>
      </c>
      <c r="F909" s="777" t="s">
        <v>80</v>
      </c>
      <c r="G909" s="778" t="s">
        <v>151</v>
      </c>
      <c r="H909" s="779" t="s">
        <v>151</v>
      </c>
      <c r="I909" s="776" t="s">
        <v>90</v>
      </c>
      <c r="J909" s="780"/>
      <c r="K909" s="778" t="s">
        <v>160</v>
      </c>
      <c r="L909" s="781"/>
      <c r="M909" s="778" t="s">
        <v>160</v>
      </c>
      <c r="N909" s="781"/>
      <c r="O909" s="781"/>
    </row>
    <row r="910" spans="2:15" ht="13.5" thickBot="1">
      <c r="C910" s="782" t="s">
        <v>469</v>
      </c>
      <c r="D910" s="783" t="s">
        <v>470</v>
      </c>
      <c r="E910" s="782" t="s">
        <v>363</v>
      </c>
      <c r="F910" s="783" t="s">
        <v>470</v>
      </c>
      <c r="G910" s="784" t="s">
        <v>93</v>
      </c>
      <c r="H910" s="785" t="s">
        <v>95</v>
      </c>
      <c r="I910" s="786" t="s">
        <v>15</v>
      </c>
      <c r="J910" s="787"/>
      <c r="K910" s="784" t="s">
        <v>82</v>
      </c>
      <c r="L910" s="788"/>
      <c r="M910" s="784" t="s">
        <v>95</v>
      </c>
      <c r="N910" s="788"/>
      <c r="O910" s="788"/>
    </row>
    <row r="911" spans="2:15">
      <c r="C911" s="789">
        <f>IF(D905= "","-",D905)</f>
        <v>2016</v>
      </c>
      <c r="D911" s="737">
        <f>+D904</f>
        <v>12409450</v>
      </c>
      <c r="E911" s="790">
        <f>+I908/12*(12-D906)</f>
        <v>25222.459349593497</v>
      </c>
      <c r="F911" s="737">
        <f>+D911-E911</f>
        <v>12384227.540650407</v>
      </c>
      <c r="G911" s="1001">
        <f>+$I$96*((D911+F911)/2)+E911</f>
        <v>1404911.6235426753</v>
      </c>
      <c r="H911" s="1002">
        <f>$I$97*((D911+F911)/2)+E911</f>
        <v>1404911.6235426753</v>
      </c>
      <c r="I911" s="793">
        <f>+H911-G911</f>
        <v>0</v>
      </c>
      <c r="J911" s="793"/>
      <c r="K911" s="812"/>
      <c r="L911" s="794"/>
      <c r="M911" s="812"/>
      <c r="N911" s="794"/>
      <c r="O911" s="794"/>
    </row>
    <row r="912" spans="2:15">
      <c r="C912" s="789">
        <f>IF(D905="","-",+C911+1)</f>
        <v>2017</v>
      </c>
      <c r="D912" s="737">
        <f t="shared" ref="D912:D970" si="54">F911</f>
        <v>12384227.540650407</v>
      </c>
      <c r="E912" s="790">
        <f>IF(D912&gt;$I$908,$I$908,D912)</f>
        <v>302669.51219512196</v>
      </c>
      <c r="F912" s="737">
        <f t="shared" ref="F912:F970" si="55">+D912-E912</f>
        <v>12081558.028455285</v>
      </c>
      <c r="G912" s="795">
        <f t="shared" ref="G912:G970" si="56">+$I$96*((D912+F912)/2)+E912</f>
        <v>1664112.5328129141</v>
      </c>
      <c r="H912" s="796">
        <f t="shared" ref="H912:H970" si="57">$I$97*((D912+F912)/2)+E912</f>
        <v>1664112.5328129141</v>
      </c>
      <c r="I912" s="793">
        <f t="shared" ref="I912:I970" si="58">+H912-G912</f>
        <v>0</v>
      </c>
      <c r="J912" s="793"/>
      <c r="K912" s="813">
        <v>781130</v>
      </c>
      <c r="L912" s="797"/>
      <c r="M912" s="813">
        <v>781130</v>
      </c>
      <c r="N912" s="797"/>
      <c r="O912" s="797"/>
    </row>
    <row r="913" spans="3:15">
      <c r="C913" s="1311">
        <f>IF(D905="","-",+C912+1)</f>
        <v>2018</v>
      </c>
      <c r="D913" s="737">
        <f t="shared" si="54"/>
        <v>12081558.028455285</v>
      </c>
      <c r="E913" s="790">
        <f t="shared" ref="E913:E970" si="59">IF(D913&gt;$I$908,$I$908,D913)</f>
        <v>302669.51219512196</v>
      </c>
      <c r="F913" s="737">
        <f t="shared" si="55"/>
        <v>11778888.516260164</v>
      </c>
      <c r="G913" s="795">
        <f t="shared" si="56"/>
        <v>1630427.3446739172</v>
      </c>
      <c r="H913" s="796">
        <f t="shared" si="57"/>
        <v>1630427.3446739172</v>
      </c>
      <c r="I913" s="793">
        <f t="shared" si="58"/>
        <v>0</v>
      </c>
      <c r="J913" s="793"/>
      <c r="K913" s="813">
        <v>1367423</v>
      </c>
      <c r="L913" s="797"/>
      <c r="M913" s="813">
        <v>1367423</v>
      </c>
      <c r="N913" s="797"/>
      <c r="O913" s="797"/>
    </row>
    <row r="914" spans="3:15">
      <c r="C914" s="1307">
        <f>IF(D905="","-",+C913+1)</f>
        <v>2019</v>
      </c>
      <c r="D914" s="737">
        <f t="shared" si="54"/>
        <v>11778888.516260164</v>
      </c>
      <c r="E914" s="790">
        <f t="shared" si="59"/>
        <v>302669.51219512196</v>
      </c>
      <c r="F914" s="737">
        <f t="shared" si="55"/>
        <v>11476219.004065042</v>
      </c>
      <c r="G914" s="795">
        <f t="shared" si="56"/>
        <v>1596742.1565349202</v>
      </c>
      <c r="H914" s="796">
        <f t="shared" si="57"/>
        <v>1596742.1565349202</v>
      </c>
      <c r="I914" s="793">
        <f t="shared" si="58"/>
        <v>0</v>
      </c>
      <c r="J914" s="793"/>
      <c r="K914" s="813"/>
      <c r="L914" s="797"/>
      <c r="M914" s="813"/>
      <c r="N914" s="797"/>
      <c r="O914" s="797"/>
    </row>
    <row r="915" spans="3:15">
      <c r="C915" s="789">
        <f>IF(D905="","-",+C914+1)</f>
        <v>2020</v>
      </c>
      <c r="D915" s="737">
        <f t="shared" si="54"/>
        <v>11476219.004065042</v>
      </c>
      <c r="E915" s="790">
        <f t="shared" si="59"/>
        <v>302669.51219512196</v>
      </c>
      <c r="F915" s="737">
        <f t="shared" si="55"/>
        <v>11173549.491869921</v>
      </c>
      <c r="G915" s="795">
        <f t="shared" si="56"/>
        <v>1563056.9683959235</v>
      </c>
      <c r="H915" s="796">
        <f t="shared" si="57"/>
        <v>1563056.9683959235</v>
      </c>
      <c r="I915" s="793">
        <f t="shared" si="58"/>
        <v>0</v>
      </c>
      <c r="J915" s="793"/>
      <c r="K915" s="813"/>
      <c r="L915" s="797"/>
      <c r="M915" s="813"/>
      <c r="N915" s="797"/>
      <c r="O915" s="797"/>
    </row>
    <row r="916" spans="3:15">
      <c r="C916" s="789">
        <f>IF(D905="","-",+C915+1)</f>
        <v>2021</v>
      </c>
      <c r="D916" s="737">
        <f t="shared" si="54"/>
        <v>11173549.491869921</v>
      </c>
      <c r="E916" s="790">
        <f t="shared" si="59"/>
        <v>302669.51219512196</v>
      </c>
      <c r="F916" s="737">
        <f t="shared" si="55"/>
        <v>10870879.979674799</v>
      </c>
      <c r="G916" s="795">
        <f t="shared" si="56"/>
        <v>1529371.7802569265</v>
      </c>
      <c r="H916" s="796">
        <f t="shared" si="57"/>
        <v>1529371.7802569265</v>
      </c>
      <c r="I916" s="793">
        <f t="shared" si="58"/>
        <v>0</v>
      </c>
      <c r="J916" s="793"/>
      <c r="K916" s="813"/>
      <c r="L916" s="797"/>
      <c r="M916" s="813"/>
      <c r="N916" s="797"/>
      <c r="O916" s="797"/>
    </row>
    <row r="917" spans="3:15">
      <c r="C917" s="789">
        <f>IF(D905="","-",+C916+1)</f>
        <v>2022</v>
      </c>
      <c r="D917" s="737">
        <f t="shared" si="54"/>
        <v>10870879.979674799</v>
      </c>
      <c r="E917" s="790">
        <f t="shared" si="59"/>
        <v>302669.51219512196</v>
      </c>
      <c r="F917" s="737">
        <f t="shared" si="55"/>
        <v>10568210.467479678</v>
      </c>
      <c r="G917" s="795">
        <f t="shared" si="56"/>
        <v>1495686.5921179296</v>
      </c>
      <c r="H917" s="796">
        <f t="shared" si="57"/>
        <v>1495686.5921179296</v>
      </c>
      <c r="I917" s="793">
        <f t="shared" si="58"/>
        <v>0</v>
      </c>
      <c r="J917" s="793"/>
      <c r="K917" s="813"/>
      <c r="L917" s="797"/>
      <c r="M917" s="813"/>
      <c r="N917" s="797"/>
      <c r="O917" s="797"/>
    </row>
    <row r="918" spans="3:15">
      <c r="C918" s="789">
        <f>IF(D905="","-",+C917+1)</f>
        <v>2023</v>
      </c>
      <c r="D918" s="737">
        <f t="shared" si="54"/>
        <v>10568210.467479678</v>
      </c>
      <c r="E918" s="790">
        <f t="shared" si="59"/>
        <v>302669.51219512196</v>
      </c>
      <c r="F918" s="737">
        <f t="shared" si="55"/>
        <v>10265540.955284556</v>
      </c>
      <c r="G918" s="795">
        <f t="shared" si="56"/>
        <v>1462001.4039789329</v>
      </c>
      <c r="H918" s="796">
        <f t="shared" si="57"/>
        <v>1462001.4039789329</v>
      </c>
      <c r="I918" s="793">
        <f t="shared" si="58"/>
        <v>0</v>
      </c>
      <c r="J918" s="793"/>
      <c r="K918" s="813"/>
      <c r="L918" s="797"/>
      <c r="M918" s="813"/>
      <c r="N918" s="797"/>
      <c r="O918" s="797"/>
    </row>
    <row r="919" spans="3:15">
      <c r="C919" s="789">
        <f>IF(D905="","-",+C918+1)</f>
        <v>2024</v>
      </c>
      <c r="D919" s="737">
        <f t="shared" si="54"/>
        <v>10265540.955284556</v>
      </c>
      <c r="E919" s="790">
        <f t="shared" si="59"/>
        <v>302669.51219512196</v>
      </c>
      <c r="F919" s="737">
        <f t="shared" si="55"/>
        <v>9962871.4430894349</v>
      </c>
      <c r="G919" s="795">
        <f t="shared" si="56"/>
        <v>1428316.2158399359</v>
      </c>
      <c r="H919" s="796">
        <f t="shared" si="57"/>
        <v>1428316.2158399359</v>
      </c>
      <c r="I919" s="793">
        <f t="shared" si="58"/>
        <v>0</v>
      </c>
      <c r="J919" s="793"/>
      <c r="K919" s="813"/>
      <c r="L919" s="797"/>
      <c r="M919" s="813"/>
      <c r="N919" s="797"/>
      <c r="O919" s="797"/>
    </row>
    <row r="920" spans="3:15">
      <c r="C920" s="789">
        <f>IF(D905="","-",+C919+1)</f>
        <v>2025</v>
      </c>
      <c r="D920" s="737">
        <f t="shared" si="54"/>
        <v>9962871.4430894349</v>
      </c>
      <c r="E920" s="790">
        <f t="shared" si="59"/>
        <v>302669.51219512196</v>
      </c>
      <c r="F920" s="737">
        <f t="shared" si="55"/>
        <v>9660201.9308943134</v>
      </c>
      <c r="G920" s="795">
        <f t="shared" si="56"/>
        <v>1394631.027700939</v>
      </c>
      <c r="H920" s="796">
        <f t="shared" si="57"/>
        <v>1394631.027700939</v>
      </c>
      <c r="I920" s="793">
        <f t="shared" si="58"/>
        <v>0</v>
      </c>
      <c r="J920" s="793"/>
      <c r="K920" s="813"/>
      <c r="L920" s="797"/>
      <c r="M920" s="813"/>
      <c r="N920" s="797"/>
      <c r="O920" s="797"/>
    </row>
    <row r="921" spans="3:15">
      <c r="C921" s="789">
        <f>IF(D905="","-",+C920+1)</f>
        <v>2026</v>
      </c>
      <c r="D921" s="737">
        <f t="shared" si="54"/>
        <v>9660201.9308943134</v>
      </c>
      <c r="E921" s="790">
        <f t="shared" si="59"/>
        <v>302669.51219512196</v>
      </c>
      <c r="F921" s="737">
        <f t="shared" si="55"/>
        <v>9357532.4186991919</v>
      </c>
      <c r="G921" s="795">
        <f t="shared" si="56"/>
        <v>1360945.8395619423</v>
      </c>
      <c r="H921" s="796">
        <f t="shared" si="57"/>
        <v>1360945.8395619423</v>
      </c>
      <c r="I921" s="793">
        <f t="shared" si="58"/>
        <v>0</v>
      </c>
      <c r="J921" s="793"/>
      <c r="K921" s="813"/>
      <c r="L921" s="797"/>
      <c r="M921" s="813"/>
      <c r="N921" s="797"/>
      <c r="O921" s="797"/>
    </row>
    <row r="922" spans="3:15">
      <c r="C922" s="789">
        <f>IF(D905="","-",+C921+1)</f>
        <v>2027</v>
      </c>
      <c r="D922" s="737">
        <f t="shared" si="54"/>
        <v>9357532.4186991919</v>
      </c>
      <c r="E922" s="790">
        <f t="shared" si="59"/>
        <v>302669.51219512196</v>
      </c>
      <c r="F922" s="737">
        <f t="shared" si="55"/>
        <v>9054862.9065040704</v>
      </c>
      <c r="G922" s="795">
        <f t="shared" si="56"/>
        <v>1327260.6514229453</v>
      </c>
      <c r="H922" s="796">
        <f t="shared" si="57"/>
        <v>1327260.6514229453</v>
      </c>
      <c r="I922" s="793">
        <f t="shared" si="58"/>
        <v>0</v>
      </c>
      <c r="J922" s="793"/>
      <c r="K922" s="813"/>
      <c r="L922" s="797"/>
      <c r="M922" s="813"/>
      <c r="N922" s="797"/>
      <c r="O922" s="797"/>
    </row>
    <row r="923" spans="3:15">
      <c r="C923" s="789">
        <f>IF(D905="","-",+C922+1)</f>
        <v>2028</v>
      </c>
      <c r="D923" s="737">
        <f t="shared" si="54"/>
        <v>9054862.9065040704</v>
      </c>
      <c r="E923" s="790">
        <f t="shared" si="59"/>
        <v>302669.51219512196</v>
      </c>
      <c r="F923" s="737">
        <f t="shared" si="55"/>
        <v>8752193.3943089489</v>
      </c>
      <c r="G923" s="795">
        <f t="shared" si="56"/>
        <v>1293575.4632839486</v>
      </c>
      <c r="H923" s="796">
        <f t="shared" si="57"/>
        <v>1293575.4632839486</v>
      </c>
      <c r="I923" s="793">
        <f t="shared" si="58"/>
        <v>0</v>
      </c>
      <c r="J923" s="793"/>
      <c r="K923" s="813"/>
      <c r="L923" s="797"/>
      <c r="M923" s="813"/>
      <c r="N923" s="798"/>
      <c r="O923" s="797"/>
    </row>
    <row r="924" spans="3:15">
      <c r="C924" s="789">
        <f>IF(D905="","-",+C923+1)</f>
        <v>2029</v>
      </c>
      <c r="D924" s="737">
        <f t="shared" si="54"/>
        <v>8752193.3943089489</v>
      </c>
      <c r="E924" s="790">
        <f t="shared" si="59"/>
        <v>302669.51219512196</v>
      </c>
      <c r="F924" s="737">
        <f t="shared" si="55"/>
        <v>8449523.8821138274</v>
      </c>
      <c r="G924" s="795">
        <f t="shared" si="56"/>
        <v>1259890.2751449517</v>
      </c>
      <c r="H924" s="796">
        <f t="shared" si="57"/>
        <v>1259890.2751449517</v>
      </c>
      <c r="I924" s="793">
        <f t="shared" si="58"/>
        <v>0</v>
      </c>
      <c r="J924" s="793"/>
      <c r="K924" s="813"/>
      <c r="L924" s="797"/>
      <c r="M924" s="813"/>
      <c r="N924" s="797"/>
      <c r="O924" s="797"/>
    </row>
    <row r="925" spans="3:15">
      <c r="C925" s="789">
        <f>IF(D905="","-",+C924+1)</f>
        <v>2030</v>
      </c>
      <c r="D925" s="737">
        <f t="shared" si="54"/>
        <v>8449523.8821138274</v>
      </c>
      <c r="E925" s="790">
        <f t="shared" si="59"/>
        <v>302669.51219512196</v>
      </c>
      <c r="F925" s="737">
        <f t="shared" si="55"/>
        <v>8146854.3699187059</v>
      </c>
      <c r="G925" s="795">
        <f t="shared" si="56"/>
        <v>1226205.0870059547</v>
      </c>
      <c r="H925" s="796">
        <f t="shared" si="57"/>
        <v>1226205.0870059547</v>
      </c>
      <c r="I925" s="793">
        <f t="shared" si="58"/>
        <v>0</v>
      </c>
      <c r="J925" s="793"/>
      <c r="K925" s="813"/>
      <c r="L925" s="797"/>
      <c r="M925" s="813"/>
      <c r="N925" s="797"/>
      <c r="O925" s="797"/>
    </row>
    <row r="926" spans="3:15">
      <c r="C926" s="789">
        <f>IF(D905="","-",+C925+1)</f>
        <v>2031</v>
      </c>
      <c r="D926" s="737">
        <f t="shared" si="54"/>
        <v>8146854.3699187059</v>
      </c>
      <c r="E926" s="790">
        <f t="shared" si="59"/>
        <v>302669.51219512196</v>
      </c>
      <c r="F926" s="737">
        <f t="shared" si="55"/>
        <v>7844184.8577235844</v>
      </c>
      <c r="G926" s="795">
        <f t="shared" si="56"/>
        <v>1192519.898866958</v>
      </c>
      <c r="H926" s="796">
        <f t="shared" si="57"/>
        <v>1192519.898866958</v>
      </c>
      <c r="I926" s="793">
        <f t="shared" si="58"/>
        <v>0</v>
      </c>
      <c r="J926" s="793"/>
      <c r="K926" s="813"/>
      <c r="L926" s="797"/>
      <c r="M926" s="813"/>
      <c r="N926" s="797"/>
      <c r="O926" s="797"/>
    </row>
    <row r="927" spans="3:15">
      <c r="C927" s="789">
        <f>IF(D905="","-",+C926+1)</f>
        <v>2032</v>
      </c>
      <c r="D927" s="737">
        <f t="shared" si="54"/>
        <v>7844184.8577235844</v>
      </c>
      <c r="E927" s="790">
        <f t="shared" si="59"/>
        <v>302669.51219512196</v>
      </c>
      <c r="F927" s="737">
        <f t="shared" si="55"/>
        <v>7541515.3455284629</v>
      </c>
      <c r="G927" s="795">
        <f t="shared" si="56"/>
        <v>1158834.710727961</v>
      </c>
      <c r="H927" s="796">
        <f t="shared" si="57"/>
        <v>1158834.710727961</v>
      </c>
      <c r="I927" s="793">
        <f t="shared" si="58"/>
        <v>0</v>
      </c>
      <c r="J927" s="793"/>
      <c r="K927" s="813"/>
      <c r="L927" s="797"/>
      <c r="M927" s="813"/>
      <c r="N927" s="797"/>
      <c r="O927" s="797"/>
    </row>
    <row r="928" spans="3:15">
      <c r="C928" s="789">
        <f>IF(D905="","-",+C927+1)</f>
        <v>2033</v>
      </c>
      <c r="D928" s="737">
        <f t="shared" si="54"/>
        <v>7541515.3455284629</v>
      </c>
      <c r="E928" s="790">
        <f t="shared" si="59"/>
        <v>302669.51219512196</v>
      </c>
      <c r="F928" s="737">
        <f t="shared" si="55"/>
        <v>7238845.8333333414</v>
      </c>
      <c r="G928" s="795">
        <f t="shared" si="56"/>
        <v>1125149.5225889641</v>
      </c>
      <c r="H928" s="796">
        <f t="shared" si="57"/>
        <v>1125149.5225889641</v>
      </c>
      <c r="I928" s="793">
        <f t="shared" si="58"/>
        <v>0</v>
      </c>
      <c r="J928" s="793"/>
      <c r="K928" s="813"/>
      <c r="L928" s="797"/>
      <c r="M928" s="813"/>
      <c r="N928" s="797"/>
      <c r="O928" s="797"/>
    </row>
    <row r="929" spans="3:15">
      <c r="C929" s="789">
        <f>IF(D905="","-",+C928+1)</f>
        <v>2034</v>
      </c>
      <c r="D929" s="737">
        <f t="shared" si="54"/>
        <v>7238845.8333333414</v>
      </c>
      <c r="E929" s="790">
        <f t="shared" si="59"/>
        <v>302669.51219512196</v>
      </c>
      <c r="F929" s="737">
        <f t="shared" si="55"/>
        <v>6936176.3211382199</v>
      </c>
      <c r="G929" s="795">
        <f t="shared" si="56"/>
        <v>1091464.3344499674</v>
      </c>
      <c r="H929" s="796">
        <f t="shared" si="57"/>
        <v>1091464.3344499674</v>
      </c>
      <c r="I929" s="793">
        <f t="shared" si="58"/>
        <v>0</v>
      </c>
      <c r="J929" s="793"/>
      <c r="K929" s="813"/>
      <c r="L929" s="797"/>
      <c r="M929" s="813"/>
      <c r="N929" s="797"/>
      <c r="O929" s="797"/>
    </row>
    <row r="930" spans="3:15">
      <c r="C930" s="789">
        <f>IF(D905="","-",+C929+1)</f>
        <v>2035</v>
      </c>
      <c r="D930" s="737">
        <f t="shared" si="54"/>
        <v>6936176.3211382199</v>
      </c>
      <c r="E930" s="790">
        <f t="shared" si="59"/>
        <v>302669.51219512196</v>
      </c>
      <c r="F930" s="737">
        <f t="shared" si="55"/>
        <v>6633506.8089430984</v>
      </c>
      <c r="G930" s="795">
        <f t="shared" si="56"/>
        <v>1057779.1463109704</v>
      </c>
      <c r="H930" s="796">
        <f t="shared" si="57"/>
        <v>1057779.1463109704</v>
      </c>
      <c r="I930" s="793">
        <f t="shared" si="58"/>
        <v>0</v>
      </c>
      <c r="J930" s="793"/>
      <c r="K930" s="813"/>
      <c r="L930" s="797"/>
      <c r="M930" s="813"/>
      <c r="N930" s="797"/>
      <c r="O930" s="797"/>
    </row>
    <row r="931" spans="3:15">
      <c r="C931" s="789">
        <f>IF(D905="","-",+C930+1)</f>
        <v>2036</v>
      </c>
      <c r="D931" s="737">
        <f t="shared" si="54"/>
        <v>6633506.8089430984</v>
      </c>
      <c r="E931" s="790">
        <f t="shared" si="59"/>
        <v>302669.51219512196</v>
      </c>
      <c r="F931" s="737">
        <f t="shared" si="55"/>
        <v>6330837.2967479769</v>
      </c>
      <c r="G931" s="795">
        <f t="shared" si="56"/>
        <v>1024093.9581719736</v>
      </c>
      <c r="H931" s="796">
        <f t="shared" si="57"/>
        <v>1024093.9581719736</v>
      </c>
      <c r="I931" s="793">
        <f t="shared" si="58"/>
        <v>0</v>
      </c>
      <c r="J931" s="793"/>
      <c r="K931" s="813"/>
      <c r="L931" s="797"/>
      <c r="M931" s="813"/>
      <c r="N931" s="797"/>
      <c r="O931" s="797"/>
    </row>
    <row r="932" spans="3:15">
      <c r="C932" s="789">
        <f>IF(D905="","-",+C931+1)</f>
        <v>2037</v>
      </c>
      <c r="D932" s="737">
        <f t="shared" si="54"/>
        <v>6330837.2967479769</v>
      </c>
      <c r="E932" s="790">
        <f t="shared" si="59"/>
        <v>302669.51219512196</v>
      </c>
      <c r="F932" s="737">
        <f t="shared" si="55"/>
        <v>6028167.7845528554</v>
      </c>
      <c r="G932" s="795">
        <f t="shared" si="56"/>
        <v>990408.77003297675</v>
      </c>
      <c r="H932" s="796">
        <f t="shared" si="57"/>
        <v>990408.77003297675</v>
      </c>
      <c r="I932" s="793">
        <f t="shared" si="58"/>
        <v>0</v>
      </c>
      <c r="J932" s="793"/>
      <c r="K932" s="813"/>
      <c r="L932" s="797"/>
      <c r="M932" s="813"/>
      <c r="N932" s="797"/>
      <c r="O932" s="797"/>
    </row>
    <row r="933" spans="3:15">
      <c r="C933" s="789">
        <f>IF(D905="","-",+C932+1)</f>
        <v>2038</v>
      </c>
      <c r="D933" s="737">
        <f t="shared" si="54"/>
        <v>6028167.7845528554</v>
      </c>
      <c r="E933" s="790">
        <f t="shared" si="59"/>
        <v>302669.51219512196</v>
      </c>
      <c r="F933" s="737">
        <f t="shared" si="55"/>
        <v>5725498.2723577339</v>
      </c>
      <c r="G933" s="795">
        <f t="shared" si="56"/>
        <v>956723.5818939798</v>
      </c>
      <c r="H933" s="796">
        <f t="shared" si="57"/>
        <v>956723.5818939798</v>
      </c>
      <c r="I933" s="793">
        <f t="shared" si="58"/>
        <v>0</v>
      </c>
      <c r="J933" s="793"/>
      <c r="K933" s="813"/>
      <c r="L933" s="797"/>
      <c r="M933" s="813"/>
      <c r="N933" s="797"/>
      <c r="O933" s="797"/>
    </row>
    <row r="934" spans="3:15">
      <c r="C934" s="789">
        <f>IF(D905="","-",+C933+1)</f>
        <v>2039</v>
      </c>
      <c r="D934" s="737">
        <f t="shared" si="54"/>
        <v>5725498.2723577339</v>
      </c>
      <c r="E934" s="790">
        <f t="shared" si="59"/>
        <v>302669.51219512196</v>
      </c>
      <c r="F934" s="737">
        <f t="shared" si="55"/>
        <v>5422828.7601626124</v>
      </c>
      <c r="G934" s="795">
        <f t="shared" si="56"/>
        <v>923038.39375498297</v>
      </c>
      <c r="H934" s="796">
        <f t="shared" si="57"/>
        <v>923038.39375498297</v>
      </c>
      <c r="I934" s="793">
        <f t="shared" si="58"/>
        <v>0</v>
      </c>
      <c r="J934" s="793"/>
      <c r="K934" s="813"/>
      <c r="L934" s="797"/>
      <c r="M934" s="813"/>
      <c r="N934" s="797"/>
      <c r="O934" s="797"/>
    </row>
    <row r="935" spans="3:15">
      <c r="C935" s="789">
        <f>IF(D905="","-",+C934+1)</f>
        <v>2040</v>
      </c>
      <c r="D935" s="737">
        <f t="shared" si="54"/>
        <v>5422828.7601626124</v>
      </c>
      <c r="E935" s="790">
        <f t="shared" si="59"/>
        <v>302669.51219512196</v>
      </c>
      <c r="F935" s="737">
        <f t="shared" si="55"/>
        <v>5120159.2479674909</v>
      </c>
      <c r="G935" s="795">
        <f t="shared" si="56"/>
        <v>889353.20561598614</v>
      </c>
      <c r="H935" s="796">
        <f t="shared" si="57"/>
        <v>889353.20561598614</v>
      </c>
      <c r="I935" s="793">
        <f t="shared" si="58"/>
        <v>0</v>
      </c>
      <c r="J935" s="793"/>
      <c r="K935" s="813"/>
      <c r="L935" s="797"/>
      <c r="M935" s="813"/>
      <c r="N935" s="797"/>
      <c r="O935" s="797"/>
    </row>
    <row r="936" spans="3:15">
      <c r="C936" s="789">
        <f>IF(D905="","-",+C935+1)</f>
        <v>2041</v>
      </c>
      <c r="D936" s="737">
        <f t="shared" si="54"/>
        <v>5120159.2479674909</v>
      </c>
      <c r="E936" s="790">
        <f t="shared" si="59"/>
        <v>302669.51219512196</v>
      </c>
      <c r="F936" s="737">
        <f t="shared" si="55"/>
        <v>4817489.7357723694</v>
      </c>
      <c r="G936" s="795">
        <f t="shared" si="56"/>
        <v>855668.01747698931</v>
      </c>
      <c r="H936" s="796">
        <f t="shared" si="57"/>
        <v>855668.01747698931</v>
      </c>
      <c r="I936" s="793">
        <f t="shared" si="58"/>
        <v>0</v>
      </c>
      <c r="J936" s="793"/>
      <c r="K936" s="813"/>
      <c r="L936" s="797"/>
      <c r="M936" s="813"/>
      <c r="N936" s="797"/>
      <c r="O936" s="797"/>
    </row>
    <row r="937" spans="3:15">
      <c r="C937" s="789">
        <f>IF(D905="","-",+C936+1)</f>
        <v>2042</v>
      </c>
      <c r="D937" s="737">
        <f t="shared" si="54"/>
        <v>4817489.7357723694</v>
      </c>
      <c r="E937" s="790">
        <f t="shared" si="59"/>
        <v>302669.51219512196</v>
      </c>
      <c r="F937" s="737">
        <f t="shared" si="55"/>
        <v>4514820.2235772479</v>
      </c>
      <c r="G937" s="795">
        <f t="shared" si="56"/>
        <v>821982.82933799247</v>
      </c>
      <c r="H937" s="796">
        <f t="shared" si="57"/>
        <v>821982.82933799247</v>
      </c>
      <c r="I937" s="793">
        <f t="shared" si="58"/>
        <v>0</v>
      </c>
      <c r="J937" s="793"/>
      <c r="K937" s="813"/>
      <c r="L937" s="797"/>
      <c r="M937" s="813"/>
      <c r="N937" s="797"/>
      <c r="O937" s="797"/>
    </row>
    <row r="938" spans="3:15">
      <c r="C938" s="789">
        <f>IF(D905="","-",+C937+1)</f>
        <v>2043</v>
      </c>
      <c r="D938" s="737">
        <f t="shared" si="54"/>
        <v>4514820.2235772479</v>
      </c>
      <c r="E938" s="790">
        <f t="shared" si="59"/>
        <v>302669.51219512196</v>
      </c>
      <c r="F938" s="737">
        <f t="shared" si="55"/>
        <v>4212150.7113821264</v>
      </c>
      <c r="G938" s="795">
        <f t="shared" si="56"/>
        <v>788297.64119899552</v>
      </c>
      <c r="H938" s="796">
        <f t="shared" si="57"/>
        <v>788297.64119899552</v>
      </c>
      <c r="I938" s="793">
        <f t="shared" si="58"/>
        <v>0</v>
      </c>
      <c r="J938" s="793"/>
      <c r="K938" s="813"/>
      <c r="L938" s="797"/>
      <c r="M938" s="813"/>
      <c r="N938" s="797"/>
      <c r="O938" s="797"/>
    </row>
    <row r="939" spans="3:15">
      <c r="C939" s="789">
        <f>IF(D905="","-",+C938+1)</f>
        <v>2044</v>
      </c>
      <c r="D939" s="737">
        <f t="shared" si="54"/>
        <v>4212150.7113821264</v>
      </c>
      <c r="E939" s="790">
        <f t="shared" si="59"/>
        <v>302669.51219512196</v>
      </c>
      <c r="F939" s="737">
        <f t="shared" si="55"/>
        <v>3909481.1991870045</v>
      </c>
      <c r="G939" s="791">
        <f t="shared" si="56"/>
        <v>754612.45305999869</v>
      </c>
      <c r="H939" s="796">
        <f t="shared" si="57"/>
        <v>754612.45305999869</v>
      </c>
      <c r="I939" s="793">
        <f t="shared" si="58"/>
        <v>0</v>
      </c>
      <c r="J939" s="793"/>
      <c r="K939" s="813"/>
      <c r="L939" s="797"/>
      <c r="M939" s="813"/>
      <c r="N939" s="797"/>
      <c r="O939" s="797"/>
    </row>
    <row r="940" spans="3:15">
      <c r="C940" s="789">
        <f>IF(D905="","-",+C939+1)</f>
        <v>2045</v>
      </c>
      <c r="D940" s="737">
        <f t="shared" si="54"/>
        <v>3909481.1991870045</v>
      </c>
      <c r="E940" s="790">
        <f t="shared" si="59"/>
        <v>302669.51219512196</v>
      </c>
      <c r="F940" s="737">
        <f t="shared" si="55"/>
        <v>3606811.6869918825</v>
      </c>
      <c r="G940" s="795">
        <f t="shared" si="56"/>
        <v>720927.26492100162</v>
      </c>
      <c r="H940" s="796">
        <f t="shared" si="57"/>
        <v>720927.26492100162</v>
      </c>
      <c r="I940" s="793">
        <f t="shared" si="58"/>
        <v>0</v>
      </c>
      <c r="J940" s="793"/>
      <c r="K940" s="813"/>
      <c r="L940" s="797"/>
      <c r="M940" s="813"/>
      <c r="N940" s="797"/>
      <c r="O940" s="797"/>
    </row>
    <row r="941" spans="3:15">
      <c r="C941" s="789">
        <f>IF(D905="","-",+C940+1)</f>
        <v>2046</v>
      </c>
      <c r="D941" s="737">
        <f t="shared" si="54"/>
        <v>3606811.6869918825</v>
      </c>
      <c r="E941" s="790">
        <f t="shared" si="59"/>
        <v>302669.51219512196</v>
      </c>
      <c r="F941" s="737">
        <f t="shared" si="55"/>
        <v>3304142.1747967605</v>
      </c>
      <c r="G941" s="795">
        <f t="shared" si="56"/>
        <v>687242.07678200491</v>
      </c>
      <c r="H941" s="796">
        <f t="shared" si="57"/>
        <v>687242.07678200491</v>
      </c>
      <c r="I941" s="793">
        <f t="shared" si="58"/>
        <v>0</v>
      </c>
      <c r="J941" s="793"/>
      <c r="K941" s="813"/>
      <c r="L941" s="797"/>
      <c r="M941" s="813"/>
      <c r="N941" s="797"/>
      <c r="O941" s="797"/>
    </row>
    <row r="942" spans="3:15">
      <c r="C942" s="789">
        <f>IF(D905="","-",+C941+1)</f>
        <v>2047</v>
      </c>
      <c r="D942" s="737">
        <f t="shared" si="54"/>
        <v>3304142.1747967605</v>
      </c>
      <c r="E942" s="790">
        <f t="shared" si="59"/>
        <v>302669.51219512196</v>
      </c>
      <c r="F942" s="737">
        <f t="shared" si="55"/>
        <v>3001472.6626016386</v>
      </c>
      <c r="G942" s="795">
        <f t="shared" si="56"/>
        <v>653556.88864300784</v>
      </c>
      <c r="H942" s="796">
        <f t="shared" si="57"/>
        <v>653556.88864300784</v>
      </c>
      <c r="I942" s="793">
        <f t="shared" si="58"/>
        <v>0</v>
      </c>
      <c r="J942" s="793"/>
      <c r="K942" s="813"/>
      <c r="L942" s="797"/>
      <c r="M942" s="813"/>
      <c r="N942" s="797"/>
      <c r="O942" s="797"/>
    </row>
    <row r="943" spans="3:15">
      <c r="C943" s="789">
        <f>IF(D905="","-",+C942+1)</f>
        <v>2048</v>
      </c>
      <c r="D943" s="737">
        <f t="shared" si="54"/>
        <v>3001472.6626016386</v>
      </c>
      <c r="E943" s="790">
        <f t="shared" si="59"/>
        <v>302669.51219512196</v>
      </c>
      <c r="F943" s="737">
        <f t="shared" si="55"/>
        <v>2698803.1504065166</v>
      </c>
      <c r="G943" s="795">
        <f t="shared" si="56"/>
        <v>619871.70050401101</v>
      </c>
      <c r="H943" s="796">
        <f t="shared" si="57"/>
        <v>619871.70050401101</v>
      </c>
      <c r="I943" s="793">
        <f t="shared" si="58"/>
        <v>0</v>
      </c>
      <c r="J943" s="793"/>
      <c r="K943" s="813"/>
      <c r="L943" s="797"/>
      <c r="M943" s="813"/>
      <c r="N943" s="797"/>
      <c r="O943" s="797"/>
    </row>
    <row r="944" spans="3:15">
      <c r="C944" s="789">
        <f>IF(D905="","-",+C943+1)</f>
        <v>2049</v>
      </c>
      <c r="D944" s="737">
        <f t="shared" si="54"/>
        <v>2698803.1504065166</v>
      </c>
      <c r="E944" s="790">
        <f t="shared" si="59"/>
        <v>302669.51219512196</v>
      </c>
      <c r="F944" s="737">
        <f t="shared" si="55"/>
        <v>2396133.6382113947</v>
      </c>
      <c r="G944" s="795">
        <f t="shared" si="56"/>
        <v>586186.51236501406</v>
      </c>
      <c r="H944" s="796">
        <f t="shared" si="57"/>
        <v>586186.51236501406</v>
      </c>
      <c r="I944" s="793">
        <f t="shared" si="58"/>
        <v>0</v>
      </c>
      <c r="J944" s="793"/>
      <c r="K944" s="813"/>
      <c r="L944" s="797"/>
      <c r="M944" s="813"/>
      <c r="N944" s="797"/>
      <c r="O944" s="797"/>
    </row>
    <row r="945" spans="3:15">
      <c r="C945" s="789">
        <f>IF(D905="","-",+C944+1)</f>
        <v>2050</v>
      </c>
      <c r="D945" s="737">
        <f t="shared" si="54"/>
        <v>2396133.6382113947</v>
      </c>
      <c r="E945" s="790">
        <f t="shared" si="59"/>
        <v>302669.51219512196</v>
      </c>
      <c r="F945" s="737">
        <f t="shared" si="55"/>
        <v>2093464.1260162727</v>
      </c>
      <c r="G945" s="795">
        <f t="shared" si="56"/>
        <v>552501.32422601711</v>
      </c>
      <c r="H945" s="796">
        <f t="shared" si="57"/>
        <v>552501.32422601711</v>
      </c>
      <c r="I945" s="793">
        <f t="shared" si="58"/>
        <v>0</v>
      </c>
      <c r="J945" s="793"/>
      <c r="K945" s="813"/>
      <c r="L945" s="797"/>
      <c r="M945" s="813"/>
      <c r="N945" s="797"/>
      <c r="O945" s="797"/>
    </row>
    <row r="946" spans="3:15">
      <c r="C946" s="789">
        <f>IF(D905="","-",+C945+1)</f>
        <v>2051</v>
      </c>
      <c r="D946" s="737">
        <f t="shared" si="54"/>
        <v>2093464.1260162727</v>
      </c>
      <c r="E946" s="790">
        <f t="shared" si="59"/>
        <v>302669.51219512196</v>
      </c>
      <c r="F946" s="737">
        <f t="shared" si="55"/>
        <v>1790794.6138211507</v>
      </c>
      <c r="G946" s="795">
        <f t="shared" si="56"/>
        <v>518816.13608702022</v>
      </c>
      <c r="H946" s="796">
        <f t="shared" si="57"/>
        <v>518816.13608702022</v>
      </c>
      <c r="I946" s="793">
        <f t="shared" si="58"/>
        <v>0</v>
      </c>
      <c r="J946" s="793"/>
      <c r="K946" s="813"/>
      <c r="L946" s="797"/>
      <c r="M946" s="813"/>
      <c r="N946" s="797"/>
      <c r="O946" s="797"/>
    </row>
    <row r="947" spans="3:15">
      <c r="C947" s="789">
        <f>IF(D905="","-",+C946+1)</f>
        <v>2052</v>
      </c>
      <c r="D947" s="737">
        <f t="shared" si="54"/>
        <v>1790794.6138211507</v>
      </c>
      <c r="E947" s="790">
        <f t="shared" si="59"/>
        <v>302669.51219512196</v>
      </c>
      <c r="F947" s="737">
        <f t="shared" si="55"/>
        <v>1488125.1016260288</v>
      </c>
      <c r="G947" s="795">
        <f t="shared" si="56"/>
        <v>485130.94794802333</v>
      </c>
      <c r="H947" s="796">
        <f t="shared" si="57"/>
        <v>485130.94794802333</v>
      </c>
      <c r="I947" s="793">
        <f t="shared" si="58"/>
        <v>0</v>
      </c>
      <c r="J947" s="793"/>
      <c r="K947" s="813"/>
      <c r="L947" s="797"/>
      <c r="M947" s="813"/>
      <c r="N947" s="797"/>
      <c r="O947" s="797"/>
    </row>
    <row r="948" spans="3:15">
      <c r="C948" s="789">
        <f>IF(D905="","-",+C947+1)</f>
        <v>2053</v>
      </c>
      <c r="D948" s="737">
        <f t="shared" si="54"/>
        <v>1488125.1016260288</v>
      </c>
      <c r="E948" s="790">
        <f t="shared" si="59"/>
        <v>302669.51219512196</v>
      </c>
      <c r="F948" s="737">
        <f t="shared" si="55"/>
        <v>1185455.5894309068</v>
      </c>
      <c r="G948" s="795">
        <f t="shared" si="56"/>
        <v>451445.75980902638</v>
      </c>
      <c r="H948" s="796">
        <f t="shared" si="57"/>
        <v>451445.75980902638</v>
      </c>
      <c r="I948" s="793">
        <f t="shared" si="58"/>
        <v>0</v>
      </c>
      <c r="J948" s="793"/>
      <c r="K948" s="813"/>
      <c r="L948" s="797"/>
      <c r="M948" s="813"/>
      <c r="N948" s="797"/>
      <c r="O948" s="797"/>
    </row>
    <row r="949" spans="3:15">
      <c r="C949" s="789">
        <f>IF(D905="","-",+C948+1)</f>
        <v>2054</v>
      </c>
      <c r="D949" s="737">
        <f t="shared" si="54"/>
        <v>1185455.5894309068</v>
      </c>
      <c r="E949" s="790">
        <f t="shared" si="59"/>
        <v>302669.51219512196</v>
      </c>
      <c r="F949" s="737">
        <f t="shared" si="55"/>
        <v>882786.07723578485</v>
      </c>
      <c r="G949" s="795">
        <f t="shared" si="56"/>
        <v>417760.57167002949</v>
      </c>
      <c r="H949" s="796">
        <f t="shared" si="57"/>
        <v>417760.57167002949</v>
      </c>
      <c r="I949" s="793">
        <f t="shared" si="58"/>
        <v>0</v>
      </c>
      <c r="J949" s="793"/>
      <c r="K949" s="813"/>
      <c r="L949" s="797"/>
      <c r="M949" s="813"/>
      <c r="N949" s="797"/>
      <c r="O949" s="797"/>
    </row>
    <row r="950" spans="3:15">
      <c r="C950" s="789">
        <f>IF(D905="","-",+C949+1)</f>
        <v>2055</v>
      </c>
      <c r="D950" s="737">
        <f t="shared" si="54"/>
        <v>882786.07723578485</v>
      </c>
      <c r="E950" s="790">
        <f t="shared" si="59"/>
        <v>302669.51219512196</v>
      </c>
      <c r="F950" s="737">
        <f t="shared" si="55"/>
        <v>580116.56504066288</v>
      </c>
      <c r="G950" s="795">
        <f t="shared" si="56"/>
        <v>384075.3835310326</v>
      </c>
      <c r="H950" s="796">
        <f t="shared" si="57"/>
        <v>384075.3835310326</v>
      </c>
      <c r="I950" s="793">
        <f t="shared" si="58"/>
        <v>0</v>
      </c>
      <c r="J950" s="793"/>
      <c r="K950" s="813"/>
      <c r="L950" s="797"/>
      <c r="M950" s="813"/>
      <c r="N950" s="797"/>
      <c r="O950" s="797"/>
    </row>
    <row r="951" spans="3:15">
      <c r="C951" s="789">
        <f>IF(D905="","-",+C950+1)</f>
        <v>2056</v>
      </c>
      <c r="D951" s="737">
        <f t="shared" si="54"/>
        <v>580116.56504066288</v>
      </c>
      <c r="E951" s="790">
        <f t="shared" si="59"/>
        <v>302669.51219512196</v>
      </c>
      <c r="F951" s="737">
        <f t="shared" si="55"/>
        <v>277447.05284554092</v>
      </c>
      <c r="G951" s="795">
        <f t="shared" si="56"/>
        <v>350390.19539203565</v>
      </c>
      <c r="H951" s="796">
        <f t="shared" si="57"/>
        <v>350390.19539203565</v>
      </c>
      <c r="I951" s="793">
        <f t="shared" si="58"/>
        <v>0</v>
      </c>
      <c r="J951" s="793"/>
      <c r="K951" s="813"/>
      <c r="L951" s="797"/>
      <c r="M951" s="813"/>
      <c r="N951" s="797"/>
      <c r="O951" s="797"/>
    </row>
    <row r="952" spans="3:15">
      <c r="C952" s="789">
        <f>IF(D905="","-",+C951+1)</f>
        <v>2057</v>
      </c>
      <c r="D952" s="737">
        <f t="shared" si="54"/>
        <v>277447.05284554092</v>
      </c>
      <c r="E952" s="790">
        <f t="shared" si="59"/>
        <v>277447.05284554092</v>
      </c>
      <c r="F952" s="737">
        <f t="shared" si="55"/>
        <v>0</v>
      </c>
      <c r="G952" s="795">
        <f t="shared" si="56"/>
        <v>292886.09740924853</v>
      </c>
      <c r="H952" s="796">
        <f t="shared" si="57"/>
        <v>292886.09740924853</v>
      </c>
      <c r="I952" s="793">
        <f t="shared" si="58"/>
        <v>0</v>
      </c>
      <c r="J952" s="793"/>
      <c r="K952" s="813"/>
      <c r="L952" s="797"/>
      <c r="M952" s="813"/>
      <c r="N952" s="797"/>
      <c r="O952" s="797"/>
    </row>
    <row r="953" spans="3:15">
      <c r="C953" s="789">
        <f>IF(D905="","-",+C952+1)</f>
        <v>2058</v>
      </c>
      <c r="D953" s="737">
        <f t="shared" si="54"/>
        <v>0</v>
      </c>
      <c r="E953" s="790">
        <f t="shared" si="59"/>
        <v>0</v>
      </c>
      <c r="F953" s="737">
        <f t="shared" si="55"/>
        <v>0</v>
      </c>
      <c r="G953" s="795">
        <f t="shared" si="56"/>
        <v>0</v>
      </c>
      <c r="H953" s="796">
        <f t="shared" si="57"/>
        <v>0</v>
      </c>
      <c r="I953" s="793">
        <f t="shared" si="58"/>
        <v>0</v>
      </c>
      <c r="J953" s="793"/>
      <c r="K953" s="813"/>
      <c r="L953" s="797"/>
      <c r="M953" s="813"/>
      <c r="N953" s="797"/>
      <c r="O953" s="797"/>
    </row>
    <row r="954" spans="3:15">
      <c r="C954" s="789">
        <f>IF(D905="","-",+C953+1)</f>
        <v>2059</v>
      </c>
      <c r="D954" s="737">
        <f t="shared" si="54"/>
        <v>0</v>
      </c>
      <c r="E954" s="790">
        <f t="shared" si="59"/>
        <v>0</v>
      </c>
      <c r="F954" s="737">
        <f t="shared" si="55"/>
        <v>0</v>
      </c>
      <c r="G954" s="795">
        <f t="shared" si="56"/>
        <v>0</v>
      </c>
      <c r="H954" s="796">
        <f t="shared" si="57"/>
        <v>0</v>
      </c>
      <c r="I954" s="793">
        <f t="shared" si="58"/>
        <v>0</v>
      </c>
      <c r="J954" s="793"/>
      <c r="K954" s="813"/>
      <c r="L954" s="797"/>
      <c r="M954" s="813"/>
      <c r="N954" s="797"/>
      <c r="O954" s="797"/>
    </row>
    <row r="955" spans="3:15">
      <c r="C955" s="789">
        <f>IF(D905="","-",+C954+1)</f>
        <v>2060</v>
      </c>
      <c r="D955" s="737">
        <f t="shared" si="54"/>
        <v>0</v>
      </c>
      <c r="E955" s="790">
        <f t="shared" si="59"/>
        <v>0</v>
      </c>
      <c r="F955" s="737">
        <f t="shared" si="55"/>
        <v>0</v>
      </c>
      <c r="G955" s="795">
        <f t="shared" si="56"/>
        <v>0</v>
      </c>
      <c r="H955" s="796">
        <f t="shared" si="57"/>
        <v>0</v>
      </c>
      <c r="I955" s="793">
        <f t="shared" si="58"/>
        <v>0</v>
      </c>
      <c r="J955" s="793"/>
      <c r="K955" s="813"/>
      <c r="L955" s="797"/>
      <c r="M955" s="813"/>
      <c r="N955" s="797"/>
      <c r="O955" s="797"/>
    </row>
    <row r="956" spans="3:15">
      <c r="C956" s="789">
        <f>IF(D905="","-",+C955+1)</f>
        <v>2061</v>
      </c>
      <c r="D956" s="737">
        <f t="shared" si="54"/>
        <v>0</v>
      </c>
      <c r="E956" s="790">
        <f t="shared" si="59"/>
        <v>0</v>
      </c>
      <c r="F956" s="737">
        <f t="shared" si="55"/>
        <v>0</v>
      </c>
      <c r="G956" s="795">
        <f t="shared" si="56"/>
        <v>0</v>
      </c>
      <c r="H956" s="796">
        <f t="shared" si="57"/>
        <v>0</v>
      </c>
      <c r="I956" s="793">
        <f t="shared" si="58"/>
        <v>0</v>
      </c>
      <c r="J956" s="793"/>
      <c r="K956" s="813"/>
      <c r="L956" s="797"/>
      <c r="M956" s="813"/>
      <c r="N956" s="797"/>
      <c r="O956" s="797"/>
    </row>
    <row r="957" spans="3:15">
      <c r="C957" s="789">
        <f>IF(D905="","-",+C956+1)</f>
        <v>2062</v>
      </c>
      <c r="D957" s="737">
        <f t="shared" si="54"/>
        <v>0</v>
      </c>
      <c r="E957" s="790">
        <f t="shared" si="59"/>
        <v>0</v>
      </c>
      <c r="F957" s="737">
        <f t="shared" si="55"/>
        <v>0</v>
      </c>
      <c r="G957" s="795">
        <f t="shared" si="56"/>
        <v>0</v>
      </c>
      <c r="H957" s="796">
        <f t="shared" si="57"/>
        <v>0</v>
      </c>
      <c r="I957" s="793">
        <f t="shared" si="58"/>
        <v>0</v>
      </c>
      <c r="J957" s="793"/>
      <c r="K957" s="813"/>
      <c r="L957" s="797"/>
      <c r="M957" s="813"/>
      <c r="N957" s="797"/>
      <c r="O957" s="797"/>
    </row>
    <row r="958" spans="3:15">
      <c r="C958" s="789">
        <f>IF(D905="","-",+C957+1)</f>
        <v>2063</v>
      </c>
      <c r="D958" s="737">
        <f t="shared" si="54"/>
        <v>0</v>
      </c>
      <c r="E958" s="790">
        <f t="shared" si="59"/>
        <v>0</v>
      </c>
      <c r="F958" s="737">
        <f t="shared" si="55"/>
        <v>0</v>
      </c>
      <c r="G958" s="795">
        <f t="shared" si="56"/>
        <v>0</v>
      </c>
      <c r="H958" s="796">
        <f t="shared" si="57"/>
        <v>0</v>
      </c>
      <c r="I958" s="793">
        <f t="shared" si="58"/>
        <v>0</v>
      </c>
      <c r="J958" s="793"/>
      <c r="K958" s="813"/>
      <c r="L958" s="797"/>
      <c r="M958" s="813"/>
      <c r="N958" s="797"/>
      <c r="O958" s="797"/>
    </row>
    <row r="959" spans="3:15">
      <c r="C959" s="789">
        <f>IF(D905="","-",+C958+1)</f>
        <v>2064</v>
      </c>
      <c r="D959" s="737">
        <f t="shared" si="54"/>
        <v>0</v>
      </c>
      <c r="E959" s="790">
        <f t="shared" si="59"/>
        <v>0</v>
      </c>
      <c r="F959" s="737">
        <f t="shared" si="55"/>
        <v>0</v>
      </c>
      <c r="G959" s="795">
        <f t="shared" si="56"/>
        <v>0</v>
      </c>
      <c r="H959" s="796">
        <f t="shared" si="57"/>
        <v>0</v>
      </c>
      <c r="I959" s="793">
        <f t="shared" si="58"/>
        <v>0</v>
      </c>
      <c r="J959" s="793"/>
      <c r="K959" s="813"/>
      <c r="L959" s="797"/>
      <c r="M959" s="813"/>
      <c r="N959" s="797"/>
      <c r="O959" s="797"/>
    </row>
    <row r="960" spans="3:15">
      <c r="C960" s="789">
        <f>IF(D905="","-",+C959+1)</f>
        <v>2065</v>
      </c>
      <c r="D960" s="737">
        <f t="shared" si="54"/>
        <v>0</v>
      </c>
      <c r="E960" s="790">
        <f t="shared" si="59"/>
        <v>0</v>
      </c>
      <c r="F960" s="737">
        <f t="shared" si="55"/>
        <v>0</v>
      </c>
      <c r="G960" s="795">
        <f t="shared" si="56"/>
        <v>0</v>
      </c>
      <c r="H960" s="796">
        <f t="shared" si="57"/>
        <v>0</v>
      </c>
      <c r="I960" s="793">
        <f t="shared" si="58"/>
        <v>0</v>
      </c>
      <c r="J960" s="793"/>
      <c r="K960" s="813"/>
      <c r="L960" s="797"/>
      <c r="M960" s="813"/>
      <c r="N960" s="797"/>
      <c r="O960" s="797"/>
    </row>
    <row r="961" spans="3:15">
      <c r="C961" s="789">
        <f>IF(D905="","-",+C960+1)</f>
        <v>2066</v>
      </c>
      <c r="D961" s="737">
        <f t="shared" si="54"/>
        <v>0</v>
      </c>
      <c r="E961" s="790">
        <f t="shared" si="59"/>
        <v>0</v>
      </c>
      <c r="F961" s="737">
        <f t="shared" si="55"/>
        <v>0</v>
      </c>
      <c r="G961" s="795">
        <f t="shared" si="56"/>
        <v>0</v>
      </c>
      <c r="H961" s="796">
        <f t="shared" si="57"/>
        <v>0</v>
      </c>
      <c r="I961" s="793">
        <f t="shared" si="58"/>
        <v>0</v>
      </c>
      <c r="J961" s="793"/>
      <c r="K961" s="813"/>
      <c r="L961" s="797"/>
      <c r="M961" s="813"/>
      <c r="N961" s="797"/>
      <c r="O961" s="797"/>
    </row>
    <row r="962" spans="3:15">
      <c r="C962" s="789">
        <f>IF(D905="","-",+C961+1)</f>
        <v>2067</v>
      </c>
      <c r="D962" s="737">
        <f t="shared" si="54"/>
        <v>0</v>
      </c>
      <c r="E962" s="790">
        <f t="shared" si="59"/>
        <v>0</v>
      </c>
      <c r="F962" s="737">
        <f t="shared" si="55"/>
        <v>0</v>
      </c>
      <c r="G962" s="795">
        <f t="shared" si="56"/>
        <v>0</v>
      </c>
      <c r="H962" s="796">
        <f t="shared" si="57"/>
        <v>0</v>
      </c>
      <c r="I962" s="793">
        <f t="shared" si="58"/>
        <v>0</v>
      </c>
      <c r="J962" s="793"/>
      <c r="K962" s="813"/>
      <c r="L962" s="797"/>
      <c r="M962" s="813"/>
      <c r="N962" s="797"/>
      <c r="O962" s="797"/>
    </row>
    <row r="963" spans="3:15">
      <c r="C963" s="789">
        <f>IF(D905="","-",+C962+1)</f>
        <v>2068</v>
      </c>
      <c r="D963" s="737">
        <f t="shared" si="54"/>
        <v>0</v>
      </c>
      <c r="E963" s="790">
        <f t="shared" si="59"/>
        <v>0</v>
      </c>
      <c r="F963" s="737">
        <f t="shared" si="55"/>
        <v>0</v>
      </c>
      <c r="G963" s="795">
        <f t="shared" si="56"/>
        <v>0</v>
      </c>
      <c r="H963" s="796">
        <f t="shared" si="57"/>
        <v>0</v>
      </c>
      <c r="I963" s="793">
        <f t="shared" si="58"/>
        <v>0</v>
      </c>
      <c r="J963" s="793"/>
      <c r="K963" s="813"/>
      <c r="L963" s="797"/>
      <c r="M963" s="813"/>
      <c r="N963" s="797"/>
      <c r="O963" s="797"/>
    </row>
    <row r="964" spans="3:15">
      <c r="C964" s="789">
        <f>IF(D905="","-",+C963+1)</f>
        <v>2069</v>
      </c>
      <c r="D964" s="737">
        <f t="shared" si="54"/>
        <v>0</v>
      </c>
      <c r="E964" s="790">
        <f t="shared" si="59"/>
        <v>0</v>
      </c>
      <c r="F964" s="737">
        <f t="shared" si="55"/>
        <v>0</v>
      </c>
      <c r="G964" s="795">
        <f t="shared" si="56"/>
        <v>0</v>
      </c>
      <c r="H964" s="796">
        <f t="shared" si="57"/>
        <v>0</v>
      </c>
      <c r="I964" s="793">
        <f t="shared" si="58"/>
        <v>0</v>
      </c>
      <c r="J964" s="793"/>
      <c r="K964" s="813"/>
      <c r="L964" s="797"/>
      <c r="M964" s="813"/>
      <c r="N964" s="797"/>
      <c r="O964" s="797"/>
    </row>
    <row r="965" spans="3:15">
      <c r="C965" s="789">
        <f>IF(D905="","-",+C964+1)</f>
        <v>2070</v>
      </c>
      <c r="D965" s="737">
        <f t="shared" si="54"/>
        <v>0</v>
      </c>
      <c r="E965" s="790">
        <f t="shared" si="59"/>
        <v>0</v>
      </c>
      <c r="F965" s="737">
        <f t="shared" si="55"/>
        <v>0</v>
      </c>
      <c r="G965" s="795">
        <f t="shared" si="56"/>
        <v>0</v>
      </c>
      <c r="H965" s="796">
        <f t="shared" si="57"/>
        <v>0</v>
      </c>
      <c r="I965" s="793">
        <f t="shared" si="58"/>
        <v>0</v>
      </c>
      <c r="J965" s="793"/>
      <c r="K965" s="813"/>
      <c r="L965" s="797"/>
      <c r="M965" s="813"/>
      <c r="N965" s="797"/>
      <c r="O965" s="797"/>
    </row>
    <row r="966" spans="3:15">
      <c r="C966" s="789">
        <f>IF(D905="","-",+C965+1)</f>
        <v>2071</v>
      </c>
      <c r="D966" s="737">
        <f t="shared" si="54"/>
        <v>0</v>
      </c>
      <c r="E966" s="790">
        <f t="shared" si="59"/>
        <v>0</v>
      </c>
      <c r="F966" s="737">
        <f t="shared" si="55"/>
        <v>0</v>
      </c>
      <c r="G966" s="795">
        <f t="shared" si="56"/>
        <v>0</v>
      </c>
      <c r="H966" s="796">
        <f t="shared" si="57"/>
        <v>0</v>
      </c>
      <c r="I966" s="793">
        <f t="shared" si="58"/>
        <v>0</v>
      </c>
      <c r="J966" s="793"/>
      <c r="K966" s="813"/>
      <c r="L966" s="797"/>
      <c r="M966" s="813"/>
      <c r="N966" s="797"/>
      <c r="O966" s="797"/>
    </row>
    <row r="967" spans="3:15">
      <c r="C967" s="789">
        <f>IF(D905="","-",+C966+1)</f>
        <v>2072</v>
      </c>
      <c r="D967" s="737">
        <f t="shared" si="54"/>
        <v>0</v>
      </c>
      <c r="E967" s="790">
        <f t="shared" si="59"/>
        <v>0</v>
      </c>
      <c r="F967" s="737">
        <f t="shared" si="55"/>
        <v>0</v>
      </c>
      <c r="G967" s="795">
        <f t="shared" si="56"/>
        <v>0</v>
      </c>
      <c r="H967" s="796">
        <f t="shared" si="57"/>
        <v>0</v>
      </c>
      <c r="I967" s="793">
        <f t="shared" si="58"/>
        <v>0</v>
      </c>
      <c r="J967" s="793"/>
      <c r="K967" s="813"/>
      <c r="L967" s="797"/>
      <c r="M967" s="813"/>
      <c r="N967" s="797"/>
      <c r="O967" s="797"/>
    </row>
    <row r="968" spans="3:15">
      <c r="C968" s="789">
        <f>IF(D905="","-",+C967+1)</f>
        <v>2073</v>
      </c>
      <c r="D968" s="737">
        <f t="shared" si="54"/>
        <v>0</v>
      </c>
      <c r="E968" s="790">
        <f t="shared" si="59"/>
        <v>0</v>
      </c>
      <c r="F968" s="737">
        <f t="shared" si="55"/>
        <v>0</v>
      </c>
      <c r="G968" s="795">
        <f t="shared" si="56"/>
        <v>0</v>
      </c>
      <c r="H968" s="796">
        <f t="shared" si="57"/>
        <v>0</v>
      </c>
      <c r="I968" s="793">
        <f t="shared" si="58"/>
        <v>0</v>
      </c>
      <c r="J968" s="793"/>
      <c r="K968" s="813"/>
      <c r="L968" s="797"/>
      <c r="M968" s="813"/>
      <c r="N968" s="797"/>
      <c r="O968" s="797"/>
    </row>
    <row r="969" spans="3:15">
      <c r="C969" s="789">
        <f>IF(D905="","-",+C968+1)</f>
        <v>2074</v>
      </c>
      <c r="D969" s="737">
        <f t="shared" si="54"/>
        <v>0</v>
      </c>
      <c r="E969" s="790">
        <f t="shared" si="59"/>
        <v>0</v>
      </c>
      <c r="F969" s="737">
        <f t="shared" si="55"/>
        <v>0</v>
      </c>
      <c r="G969" s="795">
        <f t="shared" si="56"/>
        <v>0</v>
      </c>
      <c r="H969" s="796">
        <f t="shared" si="57"/>
        <v>0</v>
      </c>
      <c r="I969" s="793">
        <f t="shared" si="58"/>
        <v>0</v>
      </c>
      <c r="J969" s="793"/>
      <c r="K969" s="813"/>
      <c r="L969" s="797"/>
      <c r="M969" s="813"/>
      <c r="N969" s="797"/>
      <c r="O969" s="797"/>
    </row>
    <row r="970" spans="3:15" ht="13.5" thickBot="1">
      <c r="C970" s="799">
        <f>IF(D905="","-",+C969+1)</f>
        <v>2075</v>
      </c>
      <c r="D970" s="800">
        <f t="shared" si="54"/>
        <v>0</v>
      </c>
      <c r="E970" s="801">
        <f t="shared" si="59"/>
        <v>0</v>
      </c>
      <c r="F970" s="800">
        <f t="shared" si="55"/>
        <v>0</v>
      </c>
      <c r="G970" s="802">
        <f t="shared" si="56"/>
        <v>0</v>
      </c>
      <c r="H970" s="802">
        <f t="shared" si="57"/>
        <v>0</v>
      </c>
      <c r="I970" s="803">
        <f t="shared" si="58"/>
        <v>0</v>
      </c>
      <c r="J970" s="793"/>
      <c r="K970" s="814"/>
      <c r="L970" s="804"/>
      <c r="M970" s="814"/>
      <c r="N970" s="804"/>
      <c r="O970" s="804"/>
    </row>
    <row r="971" spans="3:15">
      <c r="C971" s="737" t="s">
        <v>83</v>
      </c>
      <c r="D971" s="731"/>
      <c r="E971" s="731">
        <f>SUM(E911:E970)</f>
        <v>12409450.000000002</v>
      </c>
      <c r="F971" s="731"/>
      <c r="G971" s="731">
        <f>SUM(G911:G970)</f>
        <v>41987852.285050936</v>
      </c>
      <c r="H971" s="731">
        <f>SUM(H911:H970)</f>
        <v>41987852.285050936</v>
      </c>
      <c r="I971" s="731">
        <f>SUM(I911:I970)</f>
        <v>0</v>
      </c>
      <c r="J971" s="731"/>
      <c r="K971" s="731"/>
      <c r="L971" s="731"/>
      <c r="M971" s="731"/>
      <c r="N971" s="731"/>
      <c r="O971" s="314"/>
    </row>
    <row r="972" spans="3:15">
      <c r="D972" s="539"/>
      <c r="E972" s="314"/>
      <c r="F972" s="314"/>
      <c r="G972" s="314"/>
      <c r="H972" s="709"/>
      <c r="I972" s="709"/>
      <c r="J972" s="731"/>
      <c r="K972" s="709"/>
      <c r="L972" s="709"/>
      <c r="M972" s="709"/>
      <c r="N972" s="709"/>
      <c r="O972" s="314"/>
    </row>
    <row r="973" spans="3:15">
      <c r="C973" s="314" t="s">
        <v>13</v>
      </c>
      <c r="D973" s="539"/>
      <c r="E973" s="314"/>
      <c r="F973" s="314"/>
      <c r="G973" s="314"/>
      <c r="H973" s="709"/>
      <c r="I973" s="709"/>
      <c r="J973" s="731"/>
      <c r="K973" s="709"/>
      <c r="L973" s="709"/>
      <c r="M973" s="709"/>
      <c r="N973" s="709"/>
      <c r="O973" s="314"/>
    </row>
    <row r="974" spans="3:15">
      <c r="C974" s="314"/>
      <c r="D974" s="539"/>
      <c r="E974" s="314"/>
      <c r="F974" s="314"/>
      <c r="G974" s="314"/>
      <c r="H974" s="709"/>
      <c r="I974" s="709"/>
      <c r="J974" s="731"/>
      <c r="K974" s="709"/>
      <c r="L974" s="709"/>
      <c r="M974" s="709"/>
      <c r="N974" s="709"/>
      <c r="O974" s="314"/>
    </row>
    <row r="975" spans="3:15">
      <c r="C975" s="750" t="s">
        <v>14</v>
      </c>
      <c r="D975" s="737"/>
      <c r="E975" s="737"/>
      <c r="F975" s="737"/>
      <c r="G975" s="731"/>
      <c r="H975" s="731"/>
      <c r="I975" s="805"/>
      <c r="J975" s="805"/>
      <c r="K975" s="805"/>
      <c r="L975" s="805"/>
      <c r="M975" s="805"/>
      <c r="N975" s="805"/>
      <c r="O975" s="314"/>
    </row>
    <row r="976" spans="3:15">
      <c r="C976" s="736" t="s">
        <v>263</v>
      </c>
      <c r="D976" s="737"/>
      <c r="E976" s="737"/>
      <c r="F976" s="737"/>
      <c r="G976" s="731"/>
      <c r="H976" s="731"/>
      <c r="I976" s="805"/>
      <c r="J976" s="805"/>
      <c r="K976" s="805"/>
      <c r="L976" s="805"/>
      <c r="M976" s="805"/>
      <c r="N976" s="805"/>
      <c r="O976" s="314"/>
    </row>
    <row r="977" spans="1:16">
      <c r="C977" s="736" t="s">
        <v>84</v>
      </c>
      <c r="D977" s="737"/>
      <c r="E977" s="737"/>
      <c r="F977" s="737"/>
      <c r="G977" s="731"/>
      <c r="H977" s="731"/>
      <c r="I977" s="805"/>
      <c r="J977" s="805"/>
      <c r="K977" s="805"/>
      <c r="L977" s="805"/>
      <c r="M977" s="805"/>
      <c r="N977" s="805"/>
      <c r="O977" s="314"/>
    </row>
    <row r="978" spans="1:16">
      <c r="C978" s="736"/>
      <c r="D978" s="737"/>
      <c r="E978" s="737"/>
      <c r="F978" s="737"/>
      <c r="G978" s="731"/>
      <c r="H978" s="731"/>
      <c r="I978" s="805"/>
      <c r="J978" s="805"/>
      <c r="K978" s="805"/>
      <c r="L978" s="805"/>
      <c r="M978" s="805"/>
      <c r="N978" s="805"/>
      <c r="O978" s="314"/>
    </row>
    <row r="979" spans="1:16">
      <c r="C979" s="1568" t="s">
        <v>6</v>
      </c>
      <c r="D979" s="1568"/>
      <c r="E979" s="1568"/>
      <c r="F979" s="1568"/>
      <c r="G979" s="1568"/>
      <c r="H979" s="1568"/>
      <c r="I979" s="1568"/>
      <c r="J979" s="1568"/>
      <c r="K979" s="1568"/>
      <c r="L979" s="1568"/>
      <c r="M979" s="1568"/>
      <c r="N979" s="1568"/>
      <c r="O979" s="1568"/>
    </row>
    <row r="980" spans="1:16">
      <c r="C980" s="1568"/>
      <c r="D980" s="1568"/>
      <c r="E980" s="1568"/>
      <c r="F980" s="1568"/>
      <c r="G980" s="1568"/>
      <c r="H980" s="1568"/>
      <c r="I980" s="1568"/>
      <c r="J980" s="1568"/>
      <c r="K980" s="1568"/>
      <c r="L980" s="1568"/>
      <c r="M980" s="1568"/>
      <c r="N980" s="1568"/>
      <c r="O980" s="1568"/>
    </row>
    <row r="981" spans="1:16">
      <c r="C981" s="736"/>
      <c r="D981" s="737"/>
      <c r="E981" s="737"/>
      <c r="F981" s="737"/>
      <c r="G981" s="731"/>
      <c r="H981" s="731"/>
    </row>
    <row r="982" spans="1:16" ht="20.25">
      <c r="A982" s="738" t="str">
        <f>""&amp;A906&amp;" Worksheet J -  ATRR PROJECTED Calculation for PJM Projects Charged to Benefiting Zones"</f>
        <v xml:space="preserve"> Worksheet J -  ATRR PROJECTED Calculation for PJM Projects Charged to Benefiting Zones</v>
      </c>
      <c r="B982" s="348"/>
      <c r="C982" s="726"/>
      <c r="D982" s="539"/>
      <c r="E982" s="314"/>
      <c r="F982" s="708"/>
      <c r="G982" s="314"/>
      <c r="H982" s="709"/>
      <c r="K982" s="565"/>
      <c r="L982" s="565"/>
      <c r="M982" s="565"/>
      <c r="N982" s="654" t="str">
        <f>"Page "&amp;SUM(P$8:P982)&amp;" of "</f>
        <v xml:space="preserve">Page 12 of </v>
      </c>
      <c r="O982" s="655">
        <f>COUNT(P$8:P$56653)</f>
        <v>12</v>
      </c>
      <c r="P982" s="739">
        <v>1</v>
      </c>
    </row>
    <row r="983" spans="1:16">
      <c r="B983" s="348"/>
      <c r="C983" s="314"/>
      <c r="D983" s="539"/>
      <c r="E983" s="314"/>
      <c r="F983" s="314"/>
      <c r="G983" s="314"/>
      <c r="H983" s="709"/>
      <c r="I983" s="314"/>
      <c r="J983" s="427"/>
      <c r="K983" s="314"/>
      <c r="L983" s="314"/>
      <c r="M983" s="314"/>
      <c r="N983" s="314"/>
      <c r="O983" s="314"/>
      <c r="P983" s="427"/>
    </row>
    <row r="984" spans="1:16" ht="18">
      <c r="B984" s="658" t="s">
        <v>466</v>
      </c>
      <c r="C984" s="740" t="s">
        <v>85</v>
      </c>
      <c r="D984" s="539"/>
      <c r="E984" s="314"/>
      <c r="F984" s="314"/>
      <c r="G984" s="314"/>
      <c r="H984" s="709"/>
      <c r="I984" s="709"/>
      <c r="J984" s="731"/>
      <c r="K984" s="709"/>
      <c r="L984" s="709"/>
      <c r="M984" s="709"/>
      <c r="N984" s="709"/>
      <c r="O984" s="314"/>
    </row>
    <row r="985" spans="1:16" ht="18.75">
      <c r="B985" s="658"/>
      <c r="C985" s="657"/>
      <c r="D985" s="539"/>
      <c r="E985" s="314"/>
      <c r="F985" s="314"/>
      <c r="G985" s="314"/>
      <c r="H985" s="709"/>
      <c r="I985" s="709"/>
      <c r="J985" s="731"/>
      <c r="K985" s="709"/>
      <c r="L985" s="709"/>
      <c r="M985" s="709"/>
      <c r="N985" s="709"/>
      <c r="O985" s="314"/>
    </row>
    <row r="986" spans="1:16" ht="18.75">
      <c r="B986" s="658"/>
      <c r="C986" s="657" t="s">
        <v>86</v>
      </c>
      <c r="D986" s="539"/>
      <c r="E986" s="314"/>
      <c r="F986" s="314"/>
      <c r="G986" s="314"/>
      <c r="H986" s="709"/>
      <c r="I986" s="709"/>
      <c r="J986" s="731"/>
      <c r="K986" s="709"/>
      <c r="L986" s="709"/>
      <c r="M986" s="709"/>
      <c r="N986" s="709"/>
      <c r="O986" s="314"/>
    </row>
    <row r="987" spans="1:16" ht="15.75" thickBot="1">
      <c r="C987" s="240"/>
      <c r="D987" s="539"/>
      <c r="E987" s="314"/>
      <c r="F987" s="314"/>
      <c r="G987" s="314"/>
      <c r="H987" s="709"/>
      <c r="I987" s="709"/>
      <c r="J987" s="731"/>
      <c r="K987" s="709"/>
      <c r="L987" s="709"/>
      <c r="M987" s="709"/>
      <c r="N987" s="709"/>
      <c r="O987" s="314"/>
    </row>
    <row r="988" spans="1:16" ht="15.75">
      <c r="C988" s="660" t="s">
        <v>87</v>
      </c>
      <c r="D988" s="539"/>
      <c r="E988" s="314"/>
      <c r="F988" s="314"/>
      <c r="G988" s="807"/>
      <c r="H988" s="314" t="s">
        <v>66</v>
      </c>
      <c r="I988" s="314"/>
      <c r="J988" s="427"/>
      <c r="K988" s="741" t="s">
        <v>91</v>
      </c>
      <c r="L988" s="742"/>
      <c r="M988" s="743"/>
      <c r="N988" s="744">
        <f>IF(I994=0,0,VLOOKUP(I994,C1001:O1060,5))</f>
        <v>2429950.1626310442</v>
      </c>
      <c r="O988" s="314"/>
    </row>
    <row r="989" spans="1:16" ht="15.75">
      <c r="C989" s="660"/>
      <c r="D989" s="539"/>
      <c r="E989" s="314"/>
      <c r="F989" s="314"/>
      <c r="G989" s="314"/>
      <c r="H989" s="745"/>
      <c r="I989" s="745"/>
      <c r="J989" s="746"/>
      <c r="K989" s="747" t="s">
        <v>92</v>
      </c>
      <c r="L989" s="748"/>
      <c r="M989" s="427"/>
      <c r="N989" s="749">
        <f>IF(I994=0,0,VLOOKUP(I994,C1001:O1060,6))</f>
        <v>2429950.1626310442</v>
      </c>
      <c r="O989" s="314"/>
    </row>
    <row r="990" spans="1:16" ht="13.5" thickBot="1">
      <c r="C990" s="750" t="s">
        <v>88</v>
      </c>
      <c r="D990" s="1567" t="s">
        <v>822</v>
      </c>
      <c r="E990" s="1567"/>
      <c r="F990" s="1567"/>
      <c r="G990" s="1567"/>
      <c r="H990" s="1567"/>
      <c r="I990" s="1567"/>
      <c r="J990" s="731"/>
      <c r="K990" s="751" t="s">
        <v>230</v>
      </c>
      <c r="L990" s="752"/>
      <c r="M990" s="752"/>
      <c r="N990" s="753">
        <f>+N989-N988</f>
        <v>0</v>
      </c>
      <c r="O990" s="314"/>
    </row>
    <row r="991" spans="1:16">
      <c r="C991" s="754"/>
      <c r="D991" s="755"/>
      <c r="E991" s="735"/>
      <c r="F991" s="735"/>
      <c r="G991" s="756"/>
      <c r="H991" s="709"/>
      <c r="I991" s="709"/>
      <c r="J991" s="731"/>
      <c r="K991" s="709"/>
      <c r="L991" s="709"/>
      <c r="M991" s="709"/>
      <c r="N991" s="709"/>
      <c r="O991" s="314"/>
    </row>
    <row r="992" spans="1:16" ht="13.5" thickBot="1">
      <c r="C992" s="757"/>
      <c r="D992" s="758"/>
      <c r="E992" s="756"/>
      <c r="F992" s="756"/>
      <c r="G992" s="756"/>
      <c r="H992" s="756"/>
      <c r="I992" s="756"/>
      <c r="J992" s="759"/>
      <c r="K992" s="756"/>
      <c r="L992" s="756"/>
      <c r="M992" s="756"/>
      <c r="N992" s="756"/>
      <c r="O992" s="348"/>
    </row>
    <row r="993" spans="2:15" ht="13.5" thickBot="1">
      <c r="C993" s="760" t="s">
        <v>89</v>
      </c>
      <c r="D993" s="761"/>
      <c r="E993" s="761"/>
      <c r="F993" s="761"/>
      <c r="G993" s="761"/>
      <c r="H993" s="761"/>
      <c r="I993" s="762"/>
      <c r="J993" s="763"/>
      <c r="K993" s="314"/>
      <c r="L993" s="314"/>
      <c r="M993" s="314"/>
      <c r="N993" s="314"/>
      <c r="O993" s="764"/>
    </row>
    <row r="994" spans="2:15" ht="15">
      <c r="C994" s="765" t="s">
        <v>67</v>
      </c>
      <c r="D994" s="809">
        <v>19716818</v>
      </c>
      <c r="E994" s="726" t="s">
        <v>68</v>
      </c>
      <c r="G994" s="766"/>
      <c r="H994" s="766"/>
      <c r="I994" s="767">
        <f>$L$26</f>
        <v>2022</v>
      </c>
      <c r="J994" s="555"/>
      <c r="K994" s="1569" t="s">
        <v>239</v>
      </c>
      <c r="L994" s="1569"/>
      <c r="M994" s="1569"/>
      <c r="N994" s="1569"/>
      <c r="O994" s="1569"/>
    </row>
    <row r="995" spans="2:15">
      <c r="C995" s="765" t="s">
        <v>70</v>
      </c>
      <c r="D995" s="810">
        <v>2017</v>
      </c>
      <c r="E995" s="765" t="s">
        <v>71</v>
      </c>
      <c r="F995" s="766"/>
      <c r="H995" s="173"/>
      <c r="I995" s="811">
        <f>IF(G988="",0,$F$17)</f>
        <v>0</v>
      </c>
      <c r="J995" s="768"/>
      <c r="K995" s="731" t="s">
        <v>239</v>
      </c>
    </row>
    <row r="996" spans="2:15">
      <c r="C996" s="765" t="s">
        <v>72</v>
      </c>
      <c r="D996" s="809">
        <v>11</v>
      </c>
      <c r="E996" s="765" t="s">
        <v>73</v>
      </c>
      <c r="F996" s="766"/>
      <c r="H996" s="173"/>
      <c r="I996" s="769">
        <f>$G$70</f>
        <v>0.11129362813814259</v>
      </c>
      <c r="J996" s="770"/>
      <c r="K996" s="173" t="str">
        <f>"          INPUT PROJECTED ARR (WITH &amp; WITHOUT INCENTIVES) FROM EACH PRIOR YEAR"</f>
        <v xml:space="preserve">          INPUT PROJECTED ARR (WITH &amp; WITHOUT INCENTIVES) FROM EACH PRIOR YEAR</v>
      </c>
    </row>
    <row r="997" spans="2:15">
      <c r="C997" s="765" t="s">
        <v>74</v>
      </c>
      <c r="D997" s="771">
        <f>$G$79</f>
        <v>41</v>
      </c>
      <c r="E997" s="765" t="s">
        <v>75</v>
      </c>
      <c r="F997" s="766"/>
      <c r="H997" s="173"/>
      <c r="I997" s="769">
        <f>IF(G988="",I996,$G$69)</f>
        <v>0.11129362813814259</v>
      </c>
      <c r="J997" s="772"/>
      <c r="K997" s="173" t="s">
        <v>152</v>
      </c>
    </row>
    <row r="998" spans="2:15" ht="13.5" thickBot="1">
      <c r="C998" s="765" t="s">
        <v>76</v>
      </c>
      <c r="D998" s="808" t="s">
        <v>811</v>
      </c>
      <c r="E998" s="773" t="s">
        <v>77</v>
      </c>
      <c r="F998" s="774"/>
      <c r="G998" s="775"/>
      <c r="H998" s="775"/>
      <c r="I998" s="753">
        <f>IF(D994=0,0,D994/D997)</f>
        <v>480898</v>
      </c>
      <c r="J998" s="731"/>
      <c r="K998" s="731" t="s">
        <v>158</v>
      </c>
      <c r="L998" s="731"/>
      <c r="M998" s="731"/>
      <c r="N998" s="731"/>
      <c r="O998" s="427"/>
    </row>
    <row r="999" spans="2:15" ht="38.25">
      <c r="B999" s="846"/>
      <c r="C999" s="776" t="s">
        <v>67</v>
      </c>
      <c r="D999" s="777" t="s">
        <v>78</v>
      </c>
      <c r="E999" s="778" t="s">
        <v>79</v>
      </c>
      <c r="F999" s="777" t="s">
        <v>80</v>
      </c>
      <c r="G999" s="778" t="s">
        <v>151</v>
      </c>
      <c r="H999" s="779" t="s">
        <v>151</v>
      </c>
      <c r="I999" s="776" t="s">
        <v>90</v>
      </c>
      <c r="J999" s="780"/>
      <c r="K999" s="778" t="s">
        <v>160</v>
      </c>
      <c r="L999" s="781"/>
      <c r="M999" s="778" t="s">
        <v>160</v>
      </c>
      <c r="N999" s="781"/>
      <c r="O999" s="781"/>
    </row>
    <row r="1000" spans="2:15" ht="13.5" thickBot="1">
      <c r="C1000" s="782" t="s">
        <v>469</v>
      </c>
      <c r="D1000" s="783" t="s">
        <v>470</v>
      </c>
      <c r="E1000" s="782" t="s">
        <v>363</v>
      </c>
      <c r="F1000" s="783" t="s">
        <v>470</v>
      </c>
      <c r="G1000" s="784" t="s">
        <v>93</v>
      </c>
      <c r="H1000" s="785" t="s">
        <v>95</v>
      </c>
      <c r="I1000" s="786" t="s">
        <v>15</v>
      </c>
      <c r="J1000" s="787"/>
      <c r="K1000" s="784" t="s">
        <v>82</v>
      </c>
      <c r="L1000" s="788"/>
      <c r="M1000" s="784" t="s">
        <v>95</v>
      </c>
      <c r="N1000" s="788"/>
      <c r="O1000" s="788"/>
    </row>
    <row r="1001" spans="2:15">
      <c r="C1001" s="789">
        <f>IF(D995= "","-",D995)</f>
        <v>2017</v>
      </c>
      <c r="D1001" s="737">
        <f>+D994</f>
        <v>19716818</v>
      </c>
      <c r="E1001" s="790">
        <f>+I998/12*(12-D996)</f>
        <v>40074.833333333336</v>
      </c>
      <c r="F1001" s="737">
        <f>+D1001-E1001</f>
        <v>19676743.166666668</v>
      </c>
      <c r="G1001" s="1001">
        <f>+$I$96*((D1001+F1001)/2)+E1001</f>
        <v>2232201.0070934212</v>
      </c>
      <c r="H1001" s="1002">
        <f>$I$97*((D1001+F1001)/2)+E1001</f>
        <v>2232201.0070934212</v>
      </c>
      <c r="I1001" s="793">
        <f>+H1001-G1001</f>
        <v>0</v>
      </c>
      <c r="J1001" s="793"/>
      <c r="K1001" s="812">
        <v>1226646</v>
      </c>
      <c r="L1001" s="794"/>
      <c r="M1001" s="812">
        <v>1226646</v>
      </c>
      <c r="N1001" s="794"/>
      <c r="O1001" s="794"/>
    </row>
    <row r="1002" spans="2:15">
      <c r="C1002" s="1311">
        <f>IF(D995="","-",+C1001+1)</f>
        <v>2018</v>
      </c>
      <c r="D1002" s="737">
        <f t="shared" ref="D1002:D1060" si="60">F1001</f>
        <v>19676743.166666668</v>
      </c>
      <c r="E1002" s="790">
        <f>IF(D1002&gt;$I$998,$I$998,D1002)</f>
        <v>480898</v>
      </c>
      <c r="F1002" s="737">
        <f t="shared" ref="F1002:F1060" si="61">+D1002-E1002</f>
        <v>19195845.166666668</v>
      </c>
      <c r="G1002" s="795">
        <f t="shared" ref="G1002:G1060" si="62">+$I$96*((D1002+F1002)/2)+E1002</f>
        <v>2644033.6953685503</v>
      </c>
      <c r="H1002" s="796">
        <f t="shared" ref="H1002:H1060" si="63">$I$97*((D1002+F1002)/2)+E1002</f>
        <v>2644033.6953685503</v>
      </c>
      <c r="I1002" s="793">
        <f t="shared" ref="I1002:I1060" si="64">+H1002-G1002</f>
        <v>0</v>
      </c>
      <c r="J1002" s="793"/>
      <c r="K1002" s="813">
        <v>2159068</v>
      </c>
      <c r="L1002" s="797"/>
      <c r="M1002" s="813">
        <v>2159068</v>
      </c>
      <c r="N1002" s="797"/>
      <c r="O1002" s="797"/>
    </row>
    <row r="1003" spans="2:15">
      <c r="C1003" s="1307">
        <f>IF(D995="","-",+C1002+1)</f>
        <v>2019</v>
      </c>
      <c r="D1003" s="737">
        <f t="shared" si="60"/>
        <v>19195845.166666668</v>
      </c>
      <c r="E1003" s="790">
        <f t="shared" ref="E1003:E1060" si="65">IF(D1003&gt;$I$998,$I$998,D1003)</f>
        <v>480898</v>
      </c>
      <c r="F1003" s="737">
        <f t="shared" si="61"/>
        <v>18714947.166666668</v>
      </c>
      <c r="G1003" s="795">
        <f t="shared" si="62"/>
        <v>2590512.8121841736</v>
      </c>
      <c r="H1003" s="796">
        <f t="shared" si="63"/>
        <v>2590512.8121841736</v>
      </c>
      <c r="I1003" s="793">
        <f t="shared" si="64"/>
        <v>0</v>
      </c>
      <c r="J1003" s="793"/>
      <c r="K1003" s="813"/>
      <c r="L1003" s="797"/>
      <c r="M1003" s="813"/>
      <c r="N1003" s="797"/>
      <c r="O1003" s="797"/>
    </row>
    <row r="1004" spans="2:15">
      <c r="C1004" s="789">
        <f>IF(D995="","-",+C1003+1)</f>
        <v>2020</v>
      </c>
      <c r="D1004" s="737">
        <f t="shared" si="60"/>
        <v>18714947.166666668</v>
      </c>
      <c r="E1004" s="790">
        <f t="shared" si="65"/>
        <v>480898</v>
      </c>
      <c r="F1004" s="737">
        <f t="shared" si="61"/>
        <v>18234049.166666668</v>
      </c>
      <c r="G1004" s="795">
        <f t="shared" si="62"/>
        <v>2536991.9289997974</v>
      </c>
      <c r="H1004" s="796">
        <f t="shared" si="63"/>
        <v>2536991.9289997974</v>
      </c>
      <c r="I1004" s="793">
        <f t="shared" si="64"/>
        <v>0</v>
      </c>
      <c r="J1004" s="793"/>
      <c r="K1004" s="813"/>
      <c r="L1004" s="797"/>
      <c r="M1004" s="813"/>
      <c r="N1004" s="797"/>
      <c r="O1004" s="797"/>
    </row>
    <row r="1005" spans="2:15">
      <c r="C1005" s="789">
        <f>IF(D995="","-",+C1004+1)</f>
        <v>2021</v>
      </c>
      <c r="D1005" s="737">
        <f t="shared" si="60"/>
        <v>18234049.166666668</v>
      </c>
      <c r="E1005" s="790">
        <f t="shared" si="65"/>
        <v>480898</v>
      </c>
      <c r="F1005" s="737">
        <f t="shared" si="61"/>
        <v>17753151.166666668</v>
      </c>
      <c r="G1005" s="795">
        <f t="shared" si="62"/>
        <v>2483471.0458154203</v>
      </c>
      <c r="H1005" s="796">
        <f t="shared" si="63"/>
        <v>2483471.0458154203</v>
      </c>
      <c r="I1005" s="793">
        <f t="shared" si="64"/>
        <v>0</v>
      </c>
      <c r="J1005" s="793"/>
      <c r="K1005" s="813"/>
      <c r="L1005" s="797"/>
      <c r="M1005" s="813"/>
      <c r="N1005" s="797"/>
      <c r="O1005" s="797"/>
    </row>
    <row r="1006" spans="2:15">
      <c r="C1006" s="789">
        <f>IF(D995="","-",+C1005+1)</f>
        <v>2022</v>
      </c>
      <c r="D1006" s="737">
        <f t="shared" si="60"/>
        <v>17753151.166666668</v>
      </c>
      <c r="E1006" s="790">
        <f t="shared" si="65"/>
        <v>480898</v>
      </c>
      <c r="F1006" s="737">
        <f t="shared" si="61"/>
        <v>17272253.166666668</v>
      </c>
      <c r="G1006" s="795">
        <f t="shared" si="62"/>
        <v>2429950.1626310442</v>
      </c>
      <c r="H1006" s="796">
        <f t="shared" si="63"/>
        <v>2429950.1626310442</v>
      </c>
      <c r="I1006" s="793">
        <f t="shared" si="64"/>
        <v>0</v>
      </c>
      <c r="J1006" s="793"/>
      <c r="K1006" s="813"/>
      <c r="L1006" s="797"/>
      <c r="M1006" s="813"/>
      <c r="N1006" s="797"/>
      <c r="O1006" s="797"/>
    </row>
    <row r="1007" spans="2:15">
      <c r="C1007" s="789">
        <f>IF(D995="","-",+C1006+1)</f>
        <v>2023</v>
      </c>
      <c r="D1007" s="737">
        <f t="shared" si="60"/>
        <v>17272253.166666668</v>
      </c>
      <c r="E1007" s="790">
        <f t="shared" si="65"/>
        <v>480898</v>
      </c>
      <c r="F1007" s="737">
        <f t="shared" si="61"/>
        <v>16791355.166666668</v>
      </c>
      <c r="G1007" s="795">
        <f t="shared" si="62"/>
        <v>2376429.2794466675</v>
      </c>
      <c r="H1007" s="796">
        <f t="shared" si="63"/>
        <v>2376429.2794466675</v>
      </c>
      <c r="I1007" s="793">
        <f t="shared" si="64"/>
        <v>0</v>
      </c>
      <c r="J1007" s="793"/>
      <c r="K1007" s="813"/>
      <c r="L1007" s="797"/>
      <c r="M1007" s="813"/>
      <c r="N1007" s="797"/>
      <c r="O1007" s="797"/>
    </row>
    <row r="1008" spans="2:15">
      <c r="C1008" s="789">
        <f>IF(D995="","-",+C1007+1)</f>
        <v>2024</v>
      </c>
      <c r="D1008" s="737">
        <f t="shared" si="60"/>
        <v>16791355.166666668</v>
      </c>
      <c r="E1008" s="790">
        <f t="shared" si="65"/>
        <v>480898</v>
      </c>
      <c r="F1008" s="737">
        <f t="shared" si="61"/>
        <v>16310457.166666668</v>
      </c>
      <c r="G1008" s="795">
        <f t="shared" si="62"/>
        <v>2322908.3962622909</v>
      </c>
      <c r="H1008" s="796">
        <f t="shared" si="63"/>
        <v>2322908.3962622909</v>
      </c>
      <c r="I1008" s="793">
        <f t="shared" si="64"/>
        <v>0</v>
      </c>
      <c r="J1008" s="793"/>
      <c r="K1008" s="813"/>
      <c r="L1008" s="797"/>
      <c r="M1008" s="813"/>
      <c r="N1008" s="797"/>
      <c r="O1008" s="797"/>
    </row>
    <row r="1009" spans="3:15">
      <c r="C1009" s="789">
        <f>IF(D995="","-",+C1008+1)</f>
        <v>2025</v>
      </c>
      <c r="D1009" s="737">
        <f t="shared" si="60"/>
        <v>16310457.166666668</v>
      </c>
      <c r="E1009" s="790">
        <f t="shared" si="65"/>
        <v>480898</v>
      </c>
      <c r="F1009" s="737">
        <f t="shared" si="61"/>
        <v>15829559.166666668</v>
      </c>
      <c r="G1009" s="795">
        <f t="shared" si="62"/>
        <v>2269387.5130779147</v>
      </c>
      <c r="H1009" s="796">
        <f t="shared" si="63"/>
        <v>2269387.5130779147</v>
      </c>
      <c r="I1009" s="793">
        <f t="shared" si="64"/>
        <v>0</v>
      </c>
      <c r="J1009" s="793"/>
      <c r="K1009" s="813"/>
      <c r="L1009" s="797"/>
      <c r="M1009" s="813"/>
      <c r="N1009" s="797"/>
      <c r="O1009" s="797"/>
    </row>
    <row r="1010" spans="3:15">
      <c r="C1010" s="789">
        <f>IF(D995="","-",+C1009+1)</f>
        <v>2026</v>
      </c>
      <c r="D1010" s="737">
        <f t="shared" si="60"/>
        <v>15829559.166666668</v>
      </c>
      <c r="E1010" s="790">
        <f t="shared" si="65"/>
        <v>480898</v>
      </c>
      <c r="F1010" s="737">
        <f t="shared" si="61"/>
        <v>15348661.166666668</v>
      </c>
      <c r="G1010" s="795">
        <f t="shared" si="62"/>
        <v>2215866.6298935381</v>
      </c>
      <c r="H1010" s="796">
        <f t="shared" si="63"/>
        <v>2215866.6298935381</v>
      </c>
      <c r="I1010" s="793">
        <f t="shared" si="64"/>
        <v>0</v>
      </c>
      <c r="J1010" s="793"/>
      <c r="K1010" s="813"/>
      <c r="L1010" s="797"/>
      <c r="M1010" s="813"/>
      <c r="N1010" s="797"/>
      <c r="O1010" s="797"/>
    </row>
    <row r="1011" spans="3:15">
      <c r="C1011" s="789">
        <f>IF(D995="","-",+C1010+1)</f>
        <v>2027</v>
      </c>
      <c r="D1011" s="737">
        <f t="shared" si="60"/>
        <v>15348661.166666668</v>
      </c>
      <c r="E1011" s="790">
        <f t="shared" si="65"/>
        <v>480898</v>
      </c>
      <c r="F1011" s="737">
        <f t="shared" si="61"/>
        <v>14867763.166666668</v>
      </c>
      <c r="G1011" s="795">
        <f t="shared" si="62"/>
        <v>2162345.7467091614</v>
      </c>
      <c r="H1011" s="796">
        <f t="shared" si="63"/>
        <v>2162345.7467091614</v>
      </c>
      <c r="I1011" s="793">
        <f t="shared" si="64"/>
        <v>0</v>
      </c>
      <c r="J1011" s="793"/>
      <c r="K1011" s="813"/>
      <c r="L1011" s="797"/>
      <c r="M1011" s="813"/>
      <c r="N1011" s="797"/>
      <c r="O1011" s="797"/>
    </row>
    <row r="1012" spans="3:15">
      <c r="C1012" s="789">
        <f>IF(D995="","-",+C1011+1)</f>
        <v>2028</v>
      </c>
      <c r="D1012" s="737">
        <f t="shared" si="60"/>
        <v>14867763.166666668</v>
      </c>
      <c r="E1012" s="790">
        <f t="shared" si="65"/>
        <v>480898</v>
      </c>
      <c r="F1012" s="737">
        <f t="shared" si="61"/>
        <v>14386865.166666668</v>
      </c>
      <c r="G1012" s="795">
        <f t="shared" si="62"/>
        <v>2108824.8635247853</v>
      </c>
      <c r="H1012" s="796">
        <f t="shared" si="63"/>
        <v>2108824.8635247853</v>
      </c>
      <c r="I1012" s="793">
        <f t="shared" si="64"/>
        <v>0</v>
      </c>
      <c r="J1012" s="793"/>
      <c r="K1012" s="813"/>
      <c r="L1012" s="797"/>
      <c r="M1012" s="813"/>
      <c r="N1012" s="797"/>
      <c r="O1012" s="797"/>
    </row>
    <row r="1013" spans="3:15">
      <c r="C1013" s="789">
        <f>IF(D995="","-",+C1012+1)</f>
        <v>2029</v>
      </c>
      <c r="D1013" s="737">
        <f t="shared" si="60"/>
        <v>14386865.166666668</v>
      </c>
      <c r="E1013" s="790">
        <f t="shared" si="65"/>
        <v>480898</v>
      </c>
      <c r="F1013" s="737">
        <f t="shared" si="61"/>
        <v>13905967.166666668</v>
      </c>
      <c r="G1013" s="795">
        <f t="shared" si="62"/>
        <v>2055303.9803404086</v>
      </c>
      <c r="H1013" s="796">
        <f t="shared" si="63"/>
        <v>2055303.9803404086</v>
      </c>
      <c r="I1013" s="793">
        <f t="shared" si="64"/>
        <v>0</v>
      </c>
      <c r="J1013" s="793"/>
      <c r="K1013" s="813"/>
      <c r="L1013" s="797"/>
      <c r="M1013" s="813"/>
      <c r="N1013" s="798"/>
      <c r="O1013" s="797"/>
    </row>
    <row r="1014" spans="3:15">
      <c r="C1014" s="789">
        <f>IF(D995="","-",+C1013+1)</f>
        <v>2030</v>
      </c>
      <c r="D1014" s="737">
        <f t="shared" si="60"/>
        <v>13905967.166666668</v>
      </c>
      <c r="E1014" s="790">
        <f t="shared" si="65"/>
        <v>480898</v>
      </c>
      <c r="F1014" s="737">
        <f t="shared" si="61"/>
        <v>13425069.166666668</v>
      </c>
      <c r="G1014" s="795">
        <f t="shared" si="62"/>
        <v>2001783.0971560322</v>
      </c>
      <c r="H1014" s="796">
        <f t="shared" si="63"/>
        <v>2001783.0971560322</v>
      </c>
      <c r="I1014" s="793">
        <f t="shared" si="64"/>
        <v>0</v>
      </c>
      <c r="J1014" s="793"/>
      <c r="K1014" s="813"/>
      <c r="L1014" s="797"/>
      <c r="M1014" s="813"/>
      <c r="N1014" s="797"/>
      <c r="O1014" s="797"/>
    </row>
    <row r="1015" spans="3:15">
      <c r="C1015" s="789">
        <f>IF(D995="","-",+C1014+1)</f>
        <v>2031</v>
      </c>
      <c r="D1015" s="737">
        <f t="shared" si="60"/>
        <v>13425069.166666668</v>
      </c>
      <c r="E1015" s="790">
        <f t="shared" si="65"/>
        <v>480898</v>
      </c>
      <c r="F1015" s="737">
        <f t="shared" si="61"/>
        <v>12944171.166666668</v>
      </c>
      <c r="G1015" s="795">
        <f t="shared" si="62"/>
        <v>1948262.2139716556</v>
      </c>
      <c r="H1015" s="796">
        <f t="shared" si="63"/>
        <v>1948262.2139716556</v>
      </c>
      <c r="I1015" s="793">
        <f t="shared" si="64"/>
        <v>0</v>
      </c>
      <c r="J1015" s="793"/>
      <c r="K1015" s="813"/>
      <c r="L1015" s="797"/>
      <c r="M1015" s="813"/>
      <c r="N1015" s="797"/>
      <c r="O1015" s="797"/>
    </row>
    <row r="1016" spans="3:15">
      <c r="C1016" s="789">
        <f>IF(D995="","-",+C1015+1)</f>
        <v>2032</v>
      </c>
      <c r="D1016" s="737">
        <f t="shared" si="60"/>
        <v>12944171.166666668</v>
      </c>
      <c r="E1016" s="790">
        <f t="shared" si="65"/>
        <v>480898</v>
      </c>
      <c r="F1016" s="737">
        <f t="shared" si="61"/>
        <v>12463273.166666668</v>
      </c>
      <c r="G1016" s="795">
        <f t="shared" si="62"/>
        <v>1894741.3307872792</v>
      </c>
      <c r="H1016" s="796">
        <f t="shared" si="63"/>
        <v>1894741.3307872792</v>
      </c>
      <c r="I1016" s="793">
        <f t="shared" si="64"/>
        <v>0</v>
      </c>
      <c r="J1016" s="793"/>
      <c r="K1016" s="813"/>
      <c r="L1016" s="797"/>
      <c r="M1016" s="813"/>
      <c r="N1016" s="797"/>
      <c r="O1016" s="797"/>
    </row>
    <row r="1017" spans="3:15">
      <c r="C1017" s="789">
        <f>IF(D995="","-",+C1016+1)</f>
        <v>2033</v>
      </c>
      <c r="D1017" s="737">
        <f t="shared" si="60"/>
        <v>12463273.166666668</v>
      </c>
      <c r="E1017" s="790">
        <f t="shared" si="65"/>
        <v>480898</v>
      </c>
      <c r="F1017" s="737">
        <f t="shared" si="61"/>
        <v>11982375.166666668</v>
      </c>
      <c r="G1017" s="795">
        <f t="shared" si="62"/>
        <v>1841220.4476029028</v>
      </c>
      <c r="H1017" s="796">
        <f t="shared" si="63"/>
        <v>1841220.4476029028</v>
      </c>
      <c r="I1017" s="793">
        <f t="shared" si="64"/>
        <v>0</v>
      </c>
      <c r="J1017" s="793"/>
      <c r="K1017" s="813"/>
      <c r="L1017" s="797"/>
      <c r="M1017" s="813"/>
      <c r="N1017" s="797"/>
      <c r="O1017" s="797"/>
    </row>
    <row r="1018" spans="3:15">
      <c r="C1018" s="789">
        <f>IF(D995="","-",+C1017+1)</f>
        <v>2034</v>
      </c>
      <c r="D1018" s="737">
        <f t="shared" si="60"/>
        <v>11982375.166666668</v>
      </c>
      <c r="E1018" s="790">
        <f t="shared" si="65"/>
        <v>480898</v>
      </c>
      <c r="F1018" s="737">
        <f t="shared" si="61"/>
        <v>11501477.166666668</v>
      </c>
      <c r="G1018" s="795">
        <f t="shared" si="62"/>
        <v>1787699.5644185261</v>
      </c>
      <c r="H1018" s="796">
        <f t="shared" si="63"/>
        <v>1787699.5644185261</v>
      </c>
      <c r="I1018" s="793">
        <f t="shared" si="64"/>
        <v>0</v>
      </c>
      <c r="J1018" s="793"/>
      <c r="K1018" s="813"/>
      <c r="L1018" s="797"/>
      <c r="M1018" s="813"/>
      <c r="N1018" s="797"/>
      <c r="O1018" s="797"/>
    </row>
    <row r="1019" spans="3:15">
      <c r="C1019" s="789">
        <f>IF(D995="","-",+C1018+1)</f>
        <v>2035</v>
      </c>
      <c r="D1019" s="737">
        <f t="shared" si="60"/>
        <v>11501477.166666668</v>
      </c>
      <c r="E1019" s="790">
        <f t="shared" si="65"/>
        <v>480898</v>
      </c>
      <c r="F1019" s="737">
        <f t="shared" si="61"/>
        <v>11020579.166666668</v>
      </c>
      <c r="G1019" s="795">
        <f t="shared" si="62"/>
        <v>1734178.6812341497</v>
      </c>
      <c r="H1019" s="796">
        <f t="shared" si="63"/>
        <v>1734178.6812341497</v>
      </c>
      <c r="I1019" s="793">
        <f t="shared" si="64"/>
        <v>0</v>
      </c>
      <c r="J1019" s="793"/>
      <c r="K1019" s="813"/>
      <c r="L1019" s="797"/>
      <c r="M1019" s="813"/>
      <c r="N1019" s="797"/>
      <c r="O1019" s="797"/>
    </row>
    <row r="1020" spans="3:15">
      <c r="C1020" s="789">
        <f>IF(D995="","-",+C1019+1)</f>
        <v>2036</v>
      </c>
      <c r="D1020" s="737">
        <f t="shared" si="60"/>
        <v>11020579.166666668</v>
      </c>
      <c r="E1020" s="790">
        <f t="shared" si="65"/>
        <v>480898</v>
      </c>
      <c r="F1020" s="737">
        <f t="shared" si="61"/>
        <v>10539681.166666668</v>
      </c>
      <c r="G1020" s="795">
        <f t="shared" si="62"/>
        <v>1680657.7980497731</v>
      </c>
      <c r="H1020" s="796">
        <f t="shared" si="63"/>
        <v>1680657.7980497731</v>
      </c>
      <c r="I1020" s="793">
        <f t="shared" si="64"/>
        <v>0</v>
      </c>
      <c r="J1020" s="793"/>
      <c r="K1020" s="813"/>
      <c r="L1020" s="797"/>
      <c r="M1020" s="813"/>
      <c r="N1020" s="797"/>
      <c r="O1020" s="797"/>
    </row>
    <row r="1021" spans="3:15">
      <c r="C1021" s="789">
        <f>IF(D995="","-",+C1020+1)</f>
        <v>2037</v>
      </c>
      <c r="D1021" s="737">
        <f t="shared" si="60"/>
        <v>10539681.166666668</v>
      </c>
      <c r="E1021" s="790">
        <f t="shared" si="65"/>
        <v>480898</v>
      </c>
      <c r="F1021" s="737">
        <f t="shared" si="61"/>
        <v>10058783.166666668</v>
      </c>
      <c r="G1021" s="795">
        <f t="shared" si="62"/>
        <v>1627136.9148653967</v>
      </c>
      <c r="H1021" s="796">
        <f t="shared" si="63"/>
        <v>1627136.9148653967</v>
      </c>
      <c r="I1021" s="793">
        <f t="shared" si="64"/>
        <v>0</v>
      </c>
      <c r="J1021" s="793"/>
      <c r="K1021" s="813"/>
      <c r="L1021" s="797"/>
      <c r="M1021" s="813"/>
      <c r="N1021" s="797"/>
      <c r="O1021" s="797"/>
    </row>
    <row r="1022" spans="3:15">
      <c r="C1022" s="789">
        <f>IF(D995="","-",+C1021+1)</f>
        <v>2038</v>
      </c>
      <c r="D1022" s="737">
        <f t="shared" si="60"/>
        <v>10058783.166666668</v>
      </c>
      <c r="E1022" s="790">
        <f t="shared" si="65"/>
        <v>480898</v>
      </c>
      <c r="F1022" s="737">
        <f t="shared" si="61"/>
        <v>9577885.1666666679</v>
      </c>
      <c r="G1022" s="795">
        <f t="shared" si="62"/>
        <v>1573616.0316810203</v>
      </c>
      <c r="H1022" s="796">
        <f t="shared" si="63"/>
        <v>1573616.0316810203</v>
      </c>
      <c r="I1022" s="793">
        <f t="shared" si="64"/>
        <v>0</v>
      </c>
      <c r="J1022" s="793"/>
      <c r="K1022" s="813"/>
      <c r="L1022" s="797"/>
      <c r="M1022" s="813"/>
      <c r="N1022" s="797"/>
      <c r="O1022" s="797"/>
    </row>
    <row r="1023" spans="3:15">
      <c r="C1023" s="789">
        <f>IF(D995="","-",+C1022+1)</f>
        <v>2039</v>
      </c>
      <c r="D1023" s="737">
        <f t="shared" si="60"/>
        <v>9577885.1666666679</v>
      </c>
      <c r="E1023" s="790">
        <f t="shared" si="65"/>
        <v>480898</v>
      </c>
      <c r="F1023" s="737">
        <f t="shared" si="61"/>
        <v>9096987.1666666679</v>
      </c>
      <c r="G1023" s="795">
        <f t="shared" si="62"/>
        <v>1520095.1484966436</v>
      </c>
      <c r="H1023" s="796">
        <f t="shared" si="63"/>
        <v>1520095.1484966436</v>
      </c>
      <c r="I1023" s="793">
        <f t="shared" si="64"/>
        <v>0</v>
      </c>
      <c r="J1023" s="793"/>
      <c r="K1023" s="813"/>
      <c r="L1023" s="797"/>
      <c r="M1023" s="813"/>
      <c r="N1023" s="797"/>
      <c r="O1023" s="797"/>
    </row>
    <row r="1024" spans="3:15">
      <c r="C1024" s="789">
        <f>IF(D995="","-",+C1023+1)</f>
        <v>2040</v>
      </c>
      <c r="D1024" s="737">
        <f t="shared" si="60"/>
        <v>9096987.1666666679</v>
      </c>
      <c r="E1024" s="790">
        <f t="shared" si="65"/>
        <v>480898</v>
      </c>
      <c r="F1024" s="737">
        <f t="shared" si="61"/>
        <v>8616089.1666666679</v>
      </c>
      <c r="G1024" s="795">
        <f t="shared" si="62"/>
        <v>1466574.2653122672</v>
      </c>
      <c r="H1024" s="796">
        <f t="shared" si="63"/>
        <v>1466574.2653122672</v>
      </c>
      <c r="I1024" s="793">
        <f t="shared" si="64"/>
        <v>0</v>
      </c>
      <c r="J1024" s="793"/>
      <c r="K1024" s="813"/>
      <c r="L1024" s="797"/>
      <c r="M1024" s="813"/>
      <c r="N1024" s="797"/>
      <c r="O1024" s="797"/>
    </row>
    <row r="1025" spans="3:15">
      <c r="C1025" s="789">
        <f>IF(D995="","-",+C1024+1)</f>
        <v>2041</v>
      </c>
      <c r="D1025" s="737">
        <f t="shared" si="60"/>
        <v>8616089.1666666679</v>
      </c>
      <c r="E1025" s="790">
        <f t="shared" si="65"/>
        <v>480898</v>
      </c>
      <c r="F1025" s="737">
        <f t="shared" si="61"/>
        <v>8135191.1666666679</v>
      </c>
      <c r="G1025" s="795">
        <f t="shared" si="62"/>
        <v>1413053.3821278908</v>
      </c>
      <c r="H1025" s="796">
        <f t="shared" si="63"/>
        <v>1413053.3821278908</v>
      </c>
      <c r="I1025" s="793">
        <f t="shared" si="64"/>
        <v>0</v>
      </c>
      <c r="J1025" s="793"/>
      <c r="K1025" s="813"/>
      <c r="L1025" s="797"/>
      <c r="M1025" s="813"/>
      <c r="N1025" s="797"/>
      <c r="O1025" s="797"/>
    </row>
    <row r="1026" spans="3:15">
      <c r="C1026" s="789">
        <f>IF(D995="","-",+C1025+1)</f>
        <v>2042</v>
      </c>
      <c r="D1026" s="737">
        <f t="shared" si="60"/>
        <v>8135191.1666666679</v>
      </c>
      <c r="E1026" s="790">
        <f t="shared" si="65"/>
        <v>480898</v>
      </c>
      <c r="F1026" s="737">
        <f t="shared" si="61"/>
        <v>7654293.1666666679</v>
      </c>
      <c r="G1026" s="795">
        <f t="shared" si="62"/>
        <v>1359532.4989435142</v>
      </c>
      <c r="H1026" s="796">
        <f t="shared" si="63"/>
        <v>1359532.4989435142</v>
      </c>
      <c r="I1026" s="793">
        <f t="shared" si="64"/>
        <v>0</v>
      </c>
      <c r="J1026" s="793"/>
      <c r="K1026" s="813"/>
      <c r="L1026" s="797"/>
      <c r="M1026" s="813"/>
      <c r="N1026" s="797"/>
      <c r="O1026" s="797"/>
    </row>
    <row r="1027" spans="3:15">
      <c r="C1027" s="789">
        <f>IF(D995="","-",+C1026+1)</f>
        <v>2043</v>
      </c>
      <c r="D1027" s="737">
        <f t="shared" si="60"/>
        <v>7654293.1666666679</v>
      </c>
      <c r="E1027" s="790">
        <f t="shared" si="65"/>
        <v>480898</v>
      </c>
      <c r="F1027" s="737">
        <f t="shared" si="61"/>
        <v>7173395.1666666679</v>
      </c>
      <c r="G1027" s="795">
        <f t="shared" si="62"/>
        <v>1306011.6157591378</v>
      </c>
      <c r="H1027" s="796">
        <f t="shared" si="63"/>
        <v>1306011.6157591378</v>
      </c>
      <c r="I1027" s="793">
        <f t="shared" si="64"/>
        <v>0</v>
      </c>
      <c r="J1027" s="793"/>
      <c r="K1027" s="813"/>
      <c r="L1027" s="797"/>
      <c r="M1027" s="813"/>
      <c r="N1027" s="797"/>
      <c r="O1027" s="797"/>
    </row>
    <row r="1028" spans="3:15">
      <c r="C1028" s="789">
        <f>IF(D995="","-",+C1027+1)</f>
        <v>2044</v>
      </c>
      <c r="D1028" s="737">
        <f t="shared" si="60"/>
        <v>7173395.1666666679</v>
      </c>
      <c r="E1028" s="790">
        <f t="shared" si="65"/>
        <v>480898</v>
      </c>
      <c r="F1028" s="737">
        <f t="shared" si="61"/>
        <v>6692497.1666666679</v>
      </c>
      <c r="G1028" s="795">
        <f t="shared" si="62"/>
        <v>1252490.7325747614</v>
      </c>
      <c r="H1028" s="796">
        <f t="shared" si="63"/>
        <v>1252490.7325747614</v>
      </c>
      <c r="I1028" s="793">
        <f t="shared" si="64"/>
        <v>0</v>
      </c>
      <c r="J1028" s="793"/>
      <c r="K1028" s="813"/>
      <c r="L1028" s="797"/>
      <c r="M1028" s="813"/>
      <c r="N1028" s="797"/>
      <c r="O1028" s="797"/>
    </row>
    <row r="1029" spans="3:15">
      <c r="C1029" s="789">
        <f>IF(D995="","-",+C1028+1)</f>
        <v>2045</v>
      </c>
      <c r="D1029" s="737">
        <f t="shared" si="60"/>
        <v>6692497.1666666679</v>
      </c>
      <c r="E1029" s="790">
        <f t="shared" si="65"/>
        <v>480898</v>
      </c>
      <c r="F1029" s="737">
        <f t="shared" si="61"/>
        <v>6211599.1666666679</v>
      </c>
      <c r="G1029" s="791">
        <f t="shared" si="62"/>
        <v>1198969.8493903847</v>
      </c>
      <c r="H1029" s="796">
        <f t="shared" si="63"/>
        <v>1198969.8493903847</v>
      </c>
      <c r="I1029" s="793">
        <f t="shared" si="64"/>
        <v>0</v>
      </c>
      <c r="J1029" s="793"/>
      <c r="K1029" s="813"/>
      <c r="L1029" s="797"/>
      <c r="M1029" s="813"/>
      <c r="N1029" s="797"/>
      <c r="O1029" s="797"/>
    </row>
    <row r="1030" spans="3:15">
      <c r="C1030" s="789">
        <f>IF(D995="","-",+C1029+1)</f>
        <v>2046</v>
      </c>
      <c r="D1030" s="737">
        <f t="shared" si="60"/>
        <v>6211599.1666666679</v>
      </c>
      <c r="E1030" s="790">
        <f t="shared" si="65"/>
        <v>480898</v>
      </c>
      <c r="F1030" s="737">
        <f t="shared" si="61"/>
        <v>5730701.1666666679</v>
      </c>
      <c r="G1030" s="795">
        <f t="shared" si="62"/>
        <v>1145448.9662060081</v>
      </c>
      <c r="H1030" s="796">
        <f t="shared" si="63"/>
        <v>1145448.9662060081</v>
      </c>
      <c r="I1030" s="793">
        <f t="shared" si="64"/>
        <v>0</v>
      </c>
      <c r="J1030" s="793"/>
      <c r="K1030" s="813"/>
      <c r="L1030" s="797"/>
      <c r="M1030" s="813"/>
      <c r="N1030" s="797"/>
      <c r="O1030" s="797"/>
    </row>
    <row r="1031" spans="3:15">
      <c r="C1031" s="789">
        <f>IF(D995="","-",+C1030+1)</f>
        <v>2047</v>
      </c>
      <c r="D1031" s="737">
        <f t="shared" si="60"/>
        <v>5730701.1666666679</v>
      </c>
      <c r="E1031" s="790">
        <f t="shared" si="65"/>
        <v>480898</v>
      </c>
      <c r="F1031" s="737">
        <f t="shared" si="61"/>
        <v>5249803.1666666679</v>
      </c>
      <c r="G1031" s="795">
        <f t="shared" si="62"/>
        <v>1091928.0830216319</v>
      </c>
      <c r="H1031" s="796">
        <f t="shared" si="63"/>
        <v>1091928.0830216319</v>
      </c>
      <c r="I1031" s="793">
        <f t="shared" si="64"/>
        <v>0</v>
      </c>
      <c r="J1031" s="793"/>
      <c r="K1031" s="813"/>
      <c r="L1031" s="797"/>
      <c r="M1031" s="813"/>
      <c r="N1031" s="797"/>
      <c r="O1031" s="797"/>
    </row>
    <row r="1032" spans="3:15">
      <c r="C1032" s="789">
        <f>IF(D995="","-",+C1031+1)</f>
        <v>2048</v>
      </c>
      <c r="D1032" s="737">
        <f t="shared" si="60"/>
        <v>5249803.1666666679</v>
      </c>
      <c r="E1032" s="790">
        <f t="shared" si="65"/>
        <v>480898</v>
      </c>
      <c r="F1032" s="737">
        <f t="shared" si="61"/>
        <v>4768905.1666666679</v>
      </c>
      <c r="G1032" s="795">
        <f t="shared" si="62"/>
        <v>1038407.1998372553</v>
      </c>
      <c r="H1032" s="796">
        <f t="shared" si="63"/>
        <v>1038407.1998372553</v>
      </c>
      <c r="I1032" s="793">
        <f t="shared" si="64"/>
        <v>0</v>
      </c>
      <c r="J1032" s="793"/>
      <c r="K1032" s="813"/>
      <c r="L1032" s="797"/>
      <c r="M1032" s="813"/>
      <c r="N1032" s="797"/>
      <c r="O1032" s="797"/>
    </row>
    <row r="1033" spans="3:15">
      <c r="C1033" s="789">
        <f>IF(D995="","-",+C1032+1)</f>
        <v>2049</v>
      </c>
      <c r="D1033" s="737">
        <f t="shared" si="60"/>
        <v>4768905.1666666679</v>
      </c>
      <c r="E1033" s="790">
        <f t="shared" si="65"/>
        <v>480898</v>
      </c>
      <c r="F1033" s="737">
        <f t="shared" si="61"/>
        <v>4288007.1666666679</v>
      </c>
      <c r="G1033" s="795">
        <f t="shared" si="62"/>
        <v>984886.31665287877</v>
      </c>
      <c r="H1033" s="796">
        <f t="shared" si="63"/>
        <v>984886.31665287877</v>
      </c>
      <c r="I1033" s="793">
        <f t="shared" si="64"/>
        <v>0</v>
      </c>
      <c r="J1033" s="793"/>
      <c r="K1033" s="813"/>
      <c r="L1033" s="797"/>
      <c r="M1033" s="813"/>
      <c r="N1033" s="797"/>
      <c r="O1033" s="797"/>
    </row>
    <row r="1034" spans="3:15">
      <c r="C1034" s="789">
        <f>IF(D995="","-",+C1033+1)</f>
        <v>2050</v>
      </c>
      <c r="D1034" s="737">
        <f t="shared" si="60"/>
        <v>4288007.1666666679</v>
      </c>
      <c r="E1034" s="790">
        <f t="shared" si="65"/>
        <v>480898</v>
      </c>
      <c r="F1034" s="737">
        <f t="shared" si="61"/>
        <v>3807109.1666666679</v>
      </c>
      <c r="G1034" s="795">
        <f t="shared" si="62"/>
        <v>931365.43346850225</v>
      </c>
      <c r="H1034" s="796">
        <f t="shared" si="63"/>
        <v>931365.43346850225</v>
      </c>
      <c r="I1034" s="793">
        <f t="shared" si="64"/>
        <v>0</v>
      </c>
      <c r="J1034" s="793"/>
      <c r="K1034" s="813"/>
      <c r="L1034" s="797"/>
      <c r="M1034" s="813"/>
      <c r="N1034" s="797"/>
      <c r="O1034" s="797"/>
    </row>
    <row r="1035" spans="3:15">
      <c r="C1035" s="789">
        <f>IF(D995="","-",+C1034+1)</f>
        <v>2051</v>
      </c>
      <c r="D1035" s="737">
        <f t="shared" si="60"/>
        <v>3807109.1666666679</v>
      </c>
      <c r="E1035" s="790">
        <f t="shared" si="65"/>
        <v>480898</v>
      </c>
      <c r="F1035" s="737">
        <f t="shared" si="61"/>
        <v>3326211.1666666679</v>
      </c>
      <c r="G1035" s="795">
        <f t="shared" si="62"/>
        <v>877844.55028412584</v>
      </c>
      <c r="H1035" s="796">
        <f t="shared" si="63"/>
        <v>877844.55028412584</v>
      </c>
      <c r="I1035" s="793">
        <f t="shared" si="64"/>
        <v>0</v>
      </c>
      <c r="J1035" s="793"/>
      <c r="K1035" s="813"/>
      <c r="L1035" s="797"/>
      <c r="M1035" s="813"/>
      <c r="N1035" s="797"/>
      <c r="O1035" s="797"/>
    </row>
    <row r="1036" spans="3:15">
      <c r="C1036" s="789">
        <f>IF(D995="","-",+C1035+1)</f>
        <v>2052</v>
      </c>
      <c r="D1036" s="737">
        <f t="shared" si="60"/>
        <v>3326211.1666666679</v>
      </c>
      <c r="E1036" s="790">
        <f t="shared" si="65"/>
        <v>480898</v>
      </c>
      <c r="F1036" s="737">
        <f t="shared" si="61"/>
        <v>2845313.1666666679</v>
      </c>
      <c r="G1036" s="795">
        <f t="shared" si="62"/>
        <v>824323.66709974932</v>
      </c>
      <c r="H1036" s="796">
        <f t="shared" si="63"/>
        <v>824323.66709974932</v>
      </c>
      <c r="I1036" s="793">
        <f t="shared" si="64"/>
        <v>0</v>
      </c>
      <c r="J1036" s="793"/>
      <c r="K1036" s="813"/>
      <c r="L1036" s="797"/>
      <c r="M1036" s="813"/>
      <c r="N1036" s="797"/>
      <c r="O1036" s="797"/>
    </row>
    <row r="1037" spans="3:15">
      <c r="C1037" s="789">
        <f>IF(D995="","-",+C1036+1)</f>
        <v>2053</v>
      </c>
      <c r="D1037" s="737">
        <f t="shared" si="60"/>
        <v>2845313.1666666679</v>
      </c>
      <c r="E1037" s="790">
        <f t="shared" si="65"/>
        <v>480898</v>
      </c>
      <c r="F1037" s="737">
        <f t="shared" si="61"/>
        <v>2364415.1666666679</v>
      </c>
      <c r="G1037" s="795">
        <f t="shared" si="62"/>
        <v>770802.7839153728</v>
      </c>
      <c r="H1037" s="796">
        <f t="shared" si="63"/>
        <v>770802.7839153728</v>
      </c>
      <c r="I1037" s="793">
        <f t="shared" si="64"/>
        <v>0</v>
      </c>
      <c r="J1037" s="793"/>
      <c r="K1037" s="813"/>
      <c r="L1037" s="797"/>
      <c r="M1037" s="813"/>
      <c r="N1037" s="797"/>
      <c r="O1037" s="797"/>
    </row>
    <row r="1038" spans="3:15">
      <c r="C1038" s="789">
        <f>IF(D995="","-",+C1037+1)</f>
        <v>2054</v>
      </c>
      <c r="D1038" s="737">
        <f t="shared" si="60"/>
        <v>2364415.1666666679</v>
      </c>
      <c r="E1038" s="790">
        <f t="shared" si="65"/>
        <v>480898</v>
      </c>
      <c r="F1038" s="737">
        <f t="shared" si="61"/>
        <v>1883517.1666666679</v>
      </c>
      <c r="G1038" s="795">
        <f t="shared" si="62"/>
        <v>717281.90073099628</v>
      </c>
      <c r="H1038" s="796">
        <f t="shared" si="63"/>
        <v>717281.90073099628</v>
      </c>
      <c r="I1038" s="793">
        <f t="shared" si="64"/>
        <v>0</v>
      </c>
      <c r="J1038" s="793"/>
      <c r="K1038" s="813"/>
      <c r="L1038" s="797"/>
      <c r="M1038" s="813"/>
      <c r="N1038" s="797"/>
      <c r="O1038" s="797"/>
    </row>
    <row r="1039" spans="3:15">
      <c r="C1039" s="789">
        <f>IF(D995="","-",+C1038+1)</f>
        <v>2055</v>
      </c>
      <c r="D1039" s="737">
        <f t="shared" si="60"/>
        <v>1883517.1666666679</v>
      </c>
      <c r="E1039" s="790">
        <f t="shared" si="65"/>
        <v>480898</v>
      </c>
      <c r="F1039" s="737">
        <f t="shared" si="61"/>
        <v>1402619.1666666679</v>
      </c>
      <c r="G1039" s="795">
        <f t="shared" si="62"/>
        <v>663761.01754661975</v>
      </c>
      <c r="H1039" s="796">
        <f t="shared" si="63"/>
        <v>663761.01754661975</v>
      </c>
      <c r="I1039" s="793">
        <f t="shared" si="64"/>
        <v>0</v>
      </c>
      <c r="J1039" s="793"/>
      <c r="K1039" s="813"/>
      <c r="L1039" s="797"/>
      <c r="M1039" s="813"/>
      <c r="N1039" s="797"/>
      <c r="O1039" s="797"/>
    </row>
    <row r="1040" spans="3:15">
      <c r="C1040" s="789">
        <f>IF(D995="","-",+C1039+1)</f>
        <v>2056</v>
      </c>
      <c r="D1040" s="737">
        <f t="shared" si="60"/>
        <v>1402619.1666666679</v>
      </c>
      <c r="E1040" s="790">
        <f t="shared" si="65"/>
        <v>480898</v>
      </c>
      <c r="F1040" s="737">
        <f t="shared" si="61"/>
        <v>921721.16666666791</v>
      </c>
      <c r="G1040" s="795">
        <f t="shared" si="62"/>
        <v>610240.13436224335</v>
      </c>
      <c r="H1040" s="796">
        <f t="shared" si="63"/>
        <v>610240.13436224335</v>
      </c>
      <c r="I1040" s="793">
        <f t="shared" si="64"/>
        <v>0</v>
      </c>
      <c r="J1040" s="793"/>
      <c r="K1040" s="813"/>
      <c r="L1040" s="797"/>
      <c r="M1040" s="813"/>
      <c r="N1040" s="797"/>
      <c r="O1040" s="797"/>
    </row>
    <row r="1041" spans="3:15">
      <c r="C1041" s="789">
        <f>IF(D995="","-",+C1040+1)</f>
        <v>2057</v>
      </c>
      <c r="D1041" s="737">
        <f t="shared" si="60"/>
        <v>921721.16666666791</v>
      </c>
      <c r="E1041" s="790">
        <f t="shared" si="65"/>
        <v>480898</v>
      </c>
      <c r="F1041" s="737">
        <f t="shared" si="61"/>
        <v>440823.16666666791</v>
      </c>
      <c r="G1041" s="795">
        <f t="shared" si="62"/>
        <v>556719.25117786683</v>
      </c>
      <c r="H1041" s="796">
        <f t="shared" si="63"/>
        <v>556719.25117786683</v>
      </c>
      <c r="I1041" s="793">
        <f t="shared" si="64"/>
        <v>0</v>
      </c>
      <c r="J1041" s="793"/>
      <c r="K1041" s="813"/>
      <c r="L1041" s="797"/>
      <c r="M1041" s="813"/>
      <c r="N1041" s="797"/>
      <c r="O1041" s="797"/>
    </row>
    <row r="1042" spans="3:15">
      <c r="C1042" s="789">
        <f>IF(D995="","-",+C1041+1)</f>
        <v>2058</v>
      </c>
      <c r="D1042" s="737">
        <f t="shared" si="60"/>
        <v>440823.16666666791</v>
      </c>
      <c r="E1042" s="790">
        <f t="shared" si="65"/>
        <v>440823.16666666791</v>
      </c>
      <c r="F1042" s="737">
        <f t="shared" si="61"/>
        <v>0</v>
      </c>
      <c r="G1042" s="795">
        <f t="shared" si="62"/>
        <v>465353.57145950722</v>
      </c>
      <c r="H1042" s="796">
        <f t="shared" si="63"/>
        <v>465353.57145950722</v>
      </c>
      <c r="I1042" s="793">
        <f t="shared" si="64"/>
        <v>0</v>
      </c>
      <c r="J1042" s="793"/>
      <c r="K1042" s="813"/>
      <c r="L1042" s="797"/>
      <c r="M1042" s="813"/>
      <c r="N1042" s="797"/>
      <c r="O1042" s="797"/>
    </row>
    <row r="1043" spans="3:15">
      <c r="C1043" s="789">
        <f>IF(D995="","-",+C1042+1)</f>
        <v>2059</v>
      </c>
      <c r="D1043" s="737">
        <f t="shared" si="60"/>
        <v>0</v>
      </c>
      <c r="E1043" s="790">
        <f t="shared" si="65"/>
        <v>0</v>
      </c>
      <c r="F1043" s="737">
        <f t="shared" si="61"/>
        <v>0</v>
      </c>
      <c r="G1043" s="795">
        <f t="shared" si="62"/>
        <v>0</v>
      </c>
      <c r="H1043" s="796">
        <f t="shared" si="63"/>
        <v>0</v>
      </c>
      <c r="I1043" s="793">
        <f t="shared" si="64"/>
        <v>0</v>
      </c>
      <c r="J1043" s="793"/>
      <c r="K1043" s="813"/>
      <c r="L1043" s="797"/>
      <c r="M1043" s="813"/>
      <c r="N1043" s="797"/>
      <c r="O1043" s="797"/>
    </row>
    <row r="1044" spans="3:15">
      <c r="C1044" s="789">
        <f>IF(D995="","-",+C1043+1)</f>
        <v>2060</v>
      </c>
      <c r="D1044" s="737">
        <f t="shared" si="60"/>
        <v>0</v>
      </c>
      <c r="E1044" s="790">
        <f t="shared" si="65"/>
        <v>0</v>
      </c>
      <c r="F1044" s="737">
        <f t="shared" si="61"/>
        <v>0</v>
      </c>
      <c r="G1044" s="795">
        <f t="shared" si="62"/>
        <v>0</v>
      </c>
      <c r="H1044" s="796">
        <f t="shared" si="63"/>
        <v>0</v>
      </c>
      <c r="I1044" s="793">
        <f t="shared" si="64"/>
        <v>0</v>
      </c>
      <c r="J1044" s="793"/>
      <c r="K1044" s="813"/>
      <c r="L1044" s="797"/>
      <c r="M1044" s="813"/>
      <c r="N1044" s="797"/>
      <c r="O1044" s="797"/>
    </row>
    <row r="1045" spans="3:15">
      <c r="C1045" s="789">
        <f>IF(D995="","-",+C1044+1)</f>
        <v>2061</v>
      </c>
      <c r="D1045" s="737">
        <f t="shared" si="60"/>
        <v>0</v>
      </c>
      <c r="E1045" s="790">
        <f t="shared" si="65"/>
        <v>0</v>
      </c>
      <c r="F1045" s="737">
        <f t="shared" si="61"/>
        <v>0</v>
      </c>
      <c r="G1045" s="795">
        <f t="shared" si="62"/>
        <v>0</v>
      </c>
      <c r="H1045" s="796">
        <f t="shared" si="63"/>
        <v>0</v>
      </c>
      <c r="I1045" s="793">
        <f t="shared" si="64"/>
        <v>0</v>
      </c>
      <c r="J1045" s="793"/>
      <c r="K1045" s="813"/>
      <c r="L1045" s="797"/>
      <c r="M1045" s="813"/>
      <c r="N1045" s="797"/>
      <c r="O1045" s="797"/>
    </row>
    <row r="1046" spans="3:15">
      <c r="C1046" s="789">
        <f>IF(D995="","-",+C1045+1)</f>
        <v>2062</v>
      </c>
      <c r="D1046" s="737">
        <f t="shared" si="60"/>
        <v>0</v>
      </c>
      <c r="E1046" s="790">
        <f t="shared" si="65"/>
        <v>0</v>
      </c>
      <c r="F1046" s="737">
        <f t="shared" si="61"/>
        <v>0</v>
      </c>
      <c r="G1046" s="795">
        <f t="shared" si="62"/>
        <v>0</v>
      </c>
      <c r="H1046" s="796">
        <f t="shared" si="63"/>
        <v>0</v>
      </c>
      <c r="I1046" s="793">
        <f t="shared" si="64"/>
        <v>0</v>
      </c>
      <c r="J1046" s="793"/>
      <c r="K1046" s="813"/>
      <c r="L1046" s="797"/>
      <c r="M1046" s="813"/>
      <c r="N1046" s="797"/>
      <c r="O1046" s="797"/>
    </row>
    <row r="1047" spans="3:15">
      <c r="C1047" s="789">
        <f>IF(D995="","-",+C1046+1)</f>
        <v>2063</v>
      </c>
      <c r="D1047" s="737">
        <f t="shared" si="60"/>
        <v>0</v>
      </c>
      <c r="E1047" s="790">
        <f t="shared" si="65"/>
        <v>0</v>
      </c>
      <c r="F1047" s="737">
        <f t="shared" si="61"/>
        <v>0</v>
      </c>
      <c r="G1047" s="795">
        <f t="shared" si="62"/>
        <v>0</v>
      </c>
      <c r="H1047" s="796">
        <f t="shared" si="63"/>
        <v>0</v>
      </c>
      <c r="I1047" s="793">
        <f t="shared" si="64"/>
        <v>0</v>
      </c>
      <c r="J1047" s="793"/>
      <c r="K1047" s="813"/>
      <c r="L1047" s="797"/>
      <c r="M1047" s="813"/>
      <c r="N1047" s="797"/>
      <c r="O1047" s="797"/>
    </row>
    <row r="1048" spans="3:15">
      <c r="C1048" s="789">
        <f>IF(D995="","-",+C1047+1)</f>
        <v>2064</v>
      </c>
      <c r="D1048" s="737">
        <f t="shared" si="60"/>
        <v>0</v>
      </c>
      <c r="E1048" s="790">
        <f t="shared" si="65"/>
        <v>0</v>
      </c>
      <c r="F1048" s="737">
        <f t="shared" si="61"/>
        <v>0</v>
      </c>
      <c r="G1048" s="795">
        <f t="shared" si="62"/>
        <v>0</v>
      </c>
      <c r="H1048" s="796">
        <f t="shared" si="63"/>
        <v>0</v>
      </c>
      <c r="I1048" s="793">
        <f t="shared" si="64"/>
        <v>0</v>
      </c>
      <c r="J1048" s="793"/>
      <c r="K1048" s="813"/>
      <c r="L1048" s="797"/>
      <c r="M1048" s="813"/>
      <c r="N1048" s="797"/>
      <c r="O1048" s="797"/>
    </row>
    <row r="1049" spans="3:15">
      <c r="C1049" s="789">
        <f>IF(D995="","-",+C1048+1)</f>
        <v>2065</v>
      </c>
      <c r="D1049" s="737">
        <f t="shared" si="60"/>
        <v>0</v>
      </c>
      <c r="E1049" s="790">
        <f t="shared" si="65"/>
        <v>0</v>
      </c>
      <c r="F1049" s="737">
        <f t="shared" si="61"/>
        <v>0</v>
      </c>
      <c r="G1049" s="795">
        <f t="shared" si="62"/>
        <v>0</v>
      </c>
      <c r="H1049" s="796">
        <f t="shared" si="63"/>
        <v>0</v>
      </c>
      <c r="I1049" s="793">
        <f t="shared" si="64"/>
        <v>0</v>
      </c>
      <c r="J1049" s="793"/>
      <c r="K1049" s="813"/>
      <c r="L1049" s="797"/>
      <c r="M1049" s="813"/>
      <c r="N1049" s="797"/>
      <c r="O1049" s="797"/>
    </row>
    <row r="1050" spans="3:15">
      <c r="C1050" s="789">
        <f>IF(D995="","-",+C1049+1)</f>
        <v>2066</v>
      </c>
      <c r="D1050" s="737">
        <f t="shared" si="60"/>
        <v>0</v>
      </c>
      <c r="E1050" s="790">
        <f t="shared" si="65"/>
        <v>0</v>
      </c>
      <c r="F1050" s="737">
        <f t="shared" si="61"/>
        <v>0</v>
      </c>
      <c r="G1050" s="795">
        <f t="shared" si="62"/>
        <v>0</v>
      </c>
      <c r="H1050" s="796">
        <f t="shared" si="63"/>
        <v>0</v>
      </c>
      <c r="I1050" s="793">
        <f t="shared" si="64"/>
        <v>0</v>
      </c>
      <c r="J1050" s="793"/>
      <c r="K1050" s="813"/>
      <c r="L1050" s="797"/>
      <c r="M1050" s="813"/>
      <c r="N1050" s="797"/>
      <c r="O1050" s="797"/>
    </row>
    <row r="1051" spans="3:15">
      <c r="C1051" s="789">
        <f>IF(D995="","-",+C1050+1)</f>
        <v>2067</v>
      </c>
      <c r="D1051" s="737">
        <f t="shared" si="60"/>
        <v>0</v>
      </c>
      <c r="E1051" s="790">
        <f t="shared" si="65"/>
        <v>0</v>
      </c>
      <c r="F1051" s="737">
        <f t="shared" si="61"/>
        <v>0</v>
      </c>
      <c r="G1051" s="795">
        <f t="shared" si="62"/>
        <v>0</v>
      </c>
      <c r="H1051" s="796">
        <f t="shared" si="63"/>
        <v>0</v>
      </c>
      <c r="I1051" s="793">
        <f t="shared" si="64"/>
        <v>0</v>
      </c>
      <c r="J1051" s="793"/>
      <c r="K1051" s="813"/>
      <c r="L1051" s="797"/>
      <c r="M1051" s="813"/>
      <c r="N1051" s="797"/>
      <c r="O1051" s="797"/>
    </row>
    <row r="1052" spans="3:15">
      <c r="C1052" s="789">
        <f>IF(D995="","-",+C1051+1)</f>
        <v>2068</v>
      </c>
      <c r="D1052" s="737">
        <f t="shared" si="60"/>
        <v>0</v>
      </c>
      <c r="E1052" s="790">
        <f t="shared" si="65"/>
        <v>0</v>
      </c>
      <c r="F1052" s="737">
        <f t="shared" si="61"/>
        <v>0</v>
      </c>
      <c r="G1052" s="795">
        <f t="shared" si="62"/>
        <v>0</v>
      </c>
      <c r="H1052" s="796">
        <f t="shared" si="63"/>
        <v>0</v>
      </c>
      <c r="I1052" s="793">
        <f t="shared" si="64"/>
        <v>0</v>
      </c>
      <c r="J1052" s="793"/>
      <c r="K1052" s="813"/>
      <c r="L1052" s="797"/>
      <c r="M1052" s="813"/>
      <c r="N1052" s="797"/>
      <c r="O1052" s="797"/>
    </row>
    <row r="1053" spans="3:15">
      <c r="C1053" s="789">
        <f>IF(D995="","-",+C1052+1)</f>
        <v>2069</v>
      </c>
      <c r="D1053" s="737">
        <f t="shared" si="60"/>
        <v>0</v>
      </c>
      <c r="E1053" s="790">
        <f t="shared" si="65"/>
        <v>0</v>
      </c>
      <c r="F1053" s="737">
        <f t="shared" si="61"/>
        <v>0</v>
      </c>
      <c r="G1053" s="795">
        <f t="shared" si="62"/>
        <v>0</v>
      </c>
      <c r="H1053" s="796">
        <f t="shared" si="63"/>
        <v>0</v>
      </c>
      <c r="I1053" s="793">
        <f t="shared" si="64"/>
        <v>0</v>
      </c>
      <c r="J1053" s="793"/>
      <c r="K1053" s="813"/>
      <c r="L1053" s="797"/>
      <c r="M1053" s="813"/>
      <c r="N1053" s="797"/>
      <c r="O1053" s="797"/>
    </row>
    <row r="1054" spans="3:15">
      <c r="C1054" s="789">
        <f>IF(D995="","-",+C1053+1)</f>
        <v>2070</v>
      </c>
      <c r="D1054" s="737">
        <f t="shared" si="60"/>
        <v>0</v>
      </c>
      <c r="E1054" s="790">
        <f t="shared" si="65"/>
        <v>0</v>
      </c>
      <c r="F1054" s="737">
        <f t="shared" si="61"/>
        <v>0</v>
      </c>
      <c r="G1054" s="795">
        <f t="shared" si="62"/>
        <v>0</v>
      </c>
      <c r="H1054" s="796">
        <f t="shared" si="63"/>
        <v>0</v>
      </c>
      <c r="I1054" s="793">
        <f t="shared" si="64"/>
        <v>0</v>
      </c>
      <c r="J1054" s="793"/>
      <c r="K1054" s="813"/>
      <c r="L1054" s="797"/>
      <c r="M1054" s="813"/>
      <c r="N1054" s="797"/>
      <c r="O1054" s="797"/>
    </row>
    <row r="1055" spans="3:15">
      <c r="C1055" s="789">
        <f>IF(D995="","-",+C1054+1)</f>
        <v>2071</v>
      </c>
      <c r="D1055" s="737">
        <f t="shared" si="60"/>
        <v>0</v>
      </c>
      <c r="E1055" s="790">
        <f t="shared" si="65"/>
        <v>0</v>
      </c>
      <c r="F1055" s="737">
        <f t="shared" si="61"/>
        <v>0</v>
      </c>
      <c r="G1055" s="795">
        <f t="shared" si="62"/>
        <v>0</v>
      </c>
      <c r="H1055" s="796">
        <f t="shared" si="63"/>
        <v>0</v>
      </c>
      <c r="I1055" s="793">
        <f t="shared" si="64"/>
        <v>0</v>
      </c>
      <c r="J1055" s="793"/>
      <c r="K1055" s="813"/>
      <c r="L1055" s="797"/>
      <c r="M1055" s="813"/>
      <c r="N1055" s="797"/>
      <c r="O1055" s="797"/>
    </row>
    <row r="1056" spans="3:15">
      <c r="C1056" s="789">
        <f>IF(D995="","-",+C1055+1)</f>
        <v>2072</v>
      </c>
      <c r="D1056" s="737">
        <f t="shared" si="60"/>
        <v>0</v>
      </c>
      <c r="E1056" s="790">
        <f t="shared" si="65"/>
        <v>0</v>
      </c>
      <c r="F1056" s="737">
        <f t="shared" si="61"/>
        <v>0</v>
      </c>
      <c r="G1056" s="795">
        <f t="shared" si="62"/>
        <v>0</v>
      </c>
      <c r="H1056" s="796">
        <f t="shared" si="63"/>
        <v>0</v>
      </c>
      <c r="I1056" s="793">
        <f t="shared" si="64"/>
        <v>0</v>
      </c>
      <c r="J1056" s="793"/>
      <c r="K1056" s="813"/>
      <c r="L1056" s="797"/>
      <c r="M1056" s="813"/>
      <c r="N1056" s="797"/>
      <c r="O1056" s="797"/>
    </row>
    <row r="1057" spans="3:15">
      <c r="C1057" s="789">
        <f>IF(D995="","-",+C1056+1)</f>
        <v>2073</v>
      </c>
      <c r="D1057" s="737">
        <f t="shared" si="60"/>
        <v>0</v>
      </c>
      <c r="E1057" s="790">
        <f t="shared" si="65"/>
        <v>0</v>
      </c>
      <c r="F1057" s="737">
        <f t="shared" si="61"/>
        <v>0</v>
      </c>
      <c r="G1057" s="795">
        <f t="shared" si="62"/>
        <v>0</v>
      </c>
      <c r="H1057" s="796">
        <f t="shared" si="63"/>
        <v>0</v>
      </c>
      <c r="I1057" s="793">
        <f t="shared" si="64"/>
        <v>0</v>
      </c>
      <c r="J1057" s="793"/>
      <c r="K1057" s="813"/>
      <c r="L1057" s="797"/>
      <c r="M1057" s="813"/>
      <c r="N1057" s="797"/>
      <c r="O1057" s="797"/>
    </row>
    <row r="1058" spans="3:15">
      <c r="C1058" s="789">
        <f>IF(D995="","-",+C1057+1)</f>
        <v>2074</v>
      </c>
      <c r="D1058" s="737">
        <f t="shared" si="60"/>
        <v>0</v>
      </c>
      <c r="E1058" s="790">
        <f t="shared" si="65"/>
        <v>0</v>
      </c>
      <c r="F1058" s="737">
        <f t="shared" si="61"/>
        <v>0</v>
      </c>
      <c r="G1058" s="795">
        <f t="shared" si="62"/>
        <v>0</v>
      </c>
      <c r="H1058" s="796">
        <f t="shared" si="63"/>
        <v>0</v>
      </c>
      <c r="I1058" s="793">
        <f t="shared" si="64"/>
        <v>0</v>
      </c>
      <c r="J1058" s="793"/>
      <c r="K1058" s="813"/>
      <c r="L1058" s="797"/>
      <c r="M1058" s="813"/>
      <c r="N1058" s="797"/>
      <c r="O1058" s="797"/>
    </row>
    <row r="1059" spans="3:15">
      <c r="C1059" s="789">
        <f>IF(D995="","-",+C1058+1)</f>
        <v>2075</v>
      </c>
      <c r="D1059" s="737">
        <f t="shared" si="60"/>
        <v>0</v>
      </c>
      <c r="E1059" s="790">
        <f t="shared" si="65"/>
        <v>0</v>
      </c>
      <c r="F1059" s="737">
        <f t="shared" si="61"/>
        <v>0</v>
      </c>
      <c r="G1059" s="795">
        <f t="shared" si="62"/>
        <v>0</v>
      </c>
      <c r="H1059" s="796">
        <f t="shared" si="63"/>
        <v>0</v>
      </c>
      <c r="I1059" s="793">
        <f t="shared" si="64"/>
        <v>0</v>
      </c>
      <c r="J1059" s="793"/>
      <c r="K1059" s="813"/>
      <c r="L1059" s="797"/>
      <c r="M1059" s="813"/>
      <c r="N1059" s="797"/>
      <c r="O1059" s="797"/>
    </row>
    <row r="1060" spans="3:15" ht="13.5" thickBot="1">
      <c r="C1060" s="799">
        <f>IF(D995="","-",+C1059+1)</f>
        <v>2076</v>
      </c>
      <c r="D1060" s="800">
        <f t="shared" si="60"/>
        <v>0</v>
      </c>
      <c r="E1060" s="801">
        <f t="shared" si="65"/>
        <v>0</v>
      </c>
      <c r="F1060" s="800">
        <f t="shared" si="61"/>
        <v>0</v>
      </c>
      <c r="G1060" s="802">
        <f t="shared" si="62"/>
        <v>0</v>
      </c>
      <c r="H1060" s="802">
        <f t="shared" si="63"/>
        <v>0</v>
      </c>
      <c r="I1060" s="803">
        <f t="shared" si="64"/>
        <v>0</v>
      </c>
      <c r="J1060" s="793"/>
      <c r="K1060" s="814"/>
      <c r="L1060" s="804"/>
      <c r="M1060" s="814"/>
      <c r="N1060" s="804"/>
      <c r="O1060" s="804"/>
    </row>
    <row r="1061" spans="3:15">
      <c r="C1061" s="737" t="s">
        <v>83</v>
      </c>
      <c r="D1061" s="731"/>
      <c r="E1061" s="731">
        <f>SUM(E1001:E1060)</f>
        <v>19716818</v>
      </c>
      <c r="F1061" s="731"/>
      <c r="G1061" s="731">
        <f>SUM(G1001:G1060)</f>
        <v>66712613.509481274</v>
      </c>
      <c r="H1061" s="731">
        <f>SUM(H1001:H1060)</f>
        <v>66712613.509481274</v>
      </c>
      <c r="I1061" s="731">
        <f>SUM(I1001:I1060)</f>
        <v>0</v>
      </c>
      <c r="J1061" s="731"/>
      <c r="K1061" s="731"/>
      <c r="L1061" s="731"/>
      <c r="M1061" s="731"/>
      <c r="N1061" s="731"/>
      <c r="O1061" s="314"/>
    </row>
    <row r="1062" spans="3:15">
      <c r="D1062" s="539"/>
      <c r="E1062" s="314"/>
      <c r="F1062" s="314"/>
      <c r="G1062" s="314"/>
      <c r="H1062" s="709"/>
      <c r="I1062" s="709"/>
      <c r="J1062" s="731"/>
      <c r="K1062" s="709"/>
      <c r="L1062" s="709"/>
      <c r="M1062" s="709"/>
      <c r="N1062" s="709"/>
      <c r="O1062" s="314"/>
    </row>
    <row r="1063" spans="3:15">
      <c r="C1063" s="314" t="s">
        <v>13</v>
      </c>
      <c r="D1063" s="539"/>
      <c r="E1063" s="314"/>
      <c r="F1063" s="314"/>
      <c r="G1063" s="314"/>
      <c r="H1063" s="709"/>
      <c r="I1063" s="709"/>
      <c r="J1063" s="731"/>
      <c r="K1063" s="709"/>
      <c r="L1063" s="709"/>
      <c r="M1063" s="709"/>
      <c r="N1063" s="709"/>
      <c r="O1063" s="314"/>
    </row>
    <row r="1064" spans="3:15">
      <c r="C1064" s="314"/>
      <c r="D1064" s="539"/>
      <c r="E1064" s="314"/>
      <c r="F1064" s="314"/>
      <c r="G1064" s="314"/>
      <c r="H1064" s="709"/>
      <c r="I1064" s="709"/>
      <c r="J1064" s="731"/>
      <c r="K1064" s="709"/>
      <c r="L1064" s="709"/>
      <c r="M1064" s="709"/>
      <c r="N1064" s="709"/>
      <c r="O1064" s="314"/>
    </row>
    <row r="1065" spans="3:15">
      <c r="C1065" s="750" t="s">
        <v>14</v>
      </c>
      <c r="D1065" s="737"/>
      <c r="E1065" s="737"/>
      <c r="F1065" s="737"/>
      <c r="G1065" s="731"/>
      <c r="H1065" s="731"/>
      <c r="I1065" s="805"/>
      <c r="J1065" s="805"/>
      <c r="K1065" s="805"/>
      <c r="L1065" s="805"/>
      <c r="M1065" s="805"/>
      <c r="N1065" s="805"/>
      <c r="O1065" s="314"/>
    </row>
    <row r="1066" spans="3:15">
      <c r="C1066" s="736" t="s">
        <v>263</v>
      </c>
      <c r="D1066" s="737"/>
      <c r="E1066" s="737"/>
      <c r="F1066" s="737"/>
      <c r="G1066" s="731"/>
      <c r="H1066" s="731"/>
      <c r="I1066" s="805"/>
      <c r="J1066" s="805"/>
      <c r="K1066" s="805"/>
      <c r="L1066" s="805"/>
      <c r="M1066" s="805"/>
      <c r="N1066" s="805"/>
      <c r="O1066" s="314"/>
    </row>
    <row r="1067" spans="3:15">
      <c r="C1067" s="736" t="s">
        <v>84</v>
      </c>
      <c r="D1067" s="737"/>
      <c r="E1067" s="737"/>
      <c r="F1067" s="737"/>
      <c r="G1067" s="731"/>
      <c r="H1067" s="731"/>
      <c r="I1067" s="805"/>
      <c r="J1067" s="805"/>
      <c r="K1067" s="805"/>
      <c r="L1067" s="805"/>
      <c r="M1067" s="805"/>
      <c r="N1067" s="805"/>
      <c r="O1067" s="314"/>
    </row>
    <row r="1068" spans="3:15">
      <c r="C1068" s="736"/>
      <c r="D1068" s="737"/>
      <c r="E1068" s="737"/>
      <c r="F1068" s="737"/>
      <c r="G1068" s="731"/>
      <c r="H1068" s="731"/>
      <c r="I1068" s="805"/>
      <c r="J1068" s="805"/>
      <c r="K1068" s="805"/>
      <c r="L1068" s="805"/>
      <c r="M1068" s="805"/>
      <c r="N1068" s="805"/>
      <c r="O1068" s="314"/>
    </row>
    <row r="1069" spans="3:15">
      <c r="C1069" s="1568" t="s">
        <v>6</v>
      </c>
      <c r="D1069" s="1568"/>
      <c r="E1069" s="1568"/>
      <c r="F1069" s="1568"/>
      <c r="G1069" s="1568"/>
      <c r="H1069" s="1568"/>
      <c r="I1069" s="1568"/>
      <c r="J1069" s="1568"/>
      <c r="K1069" s="1568"/>
      <c r="L1069" s="1568"/>
      <c r="M1069" s="1568"/>
      <c r="N1069" s="1568"/>
      <c r="O1069" s="1568"/>
    </row>
    <row r="1070" spans="3:15">
      <c r="C1070" s="1568"/>
      <c r="D1070" s="1568"/>
      <c r="E1070" s="1568"/>
      <c r="F1070" s="1568"/>
      <c r="G1070" s="1568"/>
      <c r="H1070" s="1568"/>
      <c r="I1070" s="1568"/>
      <c r="J1070" s="1568"/>
      <c r="K1070" s="1568"/>
      <c r="L1070" s="1568"/>
      <c r="M1070" s="1568"/>
      <c r="N1070" s="1568"/>
      <c r="O1070" s="1568"/>
    </row>
  </sheetData>
  <mergeCells count="40">
    <mergeCell ref="K904:O904"/>
    <mergeCell ref="C979:O980"/>
    <mergeCell ref="D990:I990"/>
    <mergeCell ref="K994:O994"/>
    <mergeCell ref="C1069:O1070"/>
    <mergeCell ref="C799:O800"/>
    <mergeCell ref="D810:I810"/>
    <mergeCell ref="K814:O814"/>
    <mergeCell ref="C889:O890"/>
    <mergeCell ref="D900:I900"/>
    <mergeCell ref="D630:I630"/>
    <mergeCell ref="K634:O634"/>
    <mergeCell ref="C709:O710"/>
    <mergeCell ref="D720:I720"/>
    <mergeCell ref="K724:O724"/>
    <mergeCell ref="C529:O530"/>
    <mergeCell ref="D360:I361"/>
    <mergeCell ref="D540:I540"/>
    <mergeCell ref="K544:O544"/>
    <mergeCell ref="C619:O620"/>
    <mergeCell ref="C349:O350"/>
    <mergeCell ref="K364:O364"/>
    <mergeCell ref="C439:O440"/>
    <mergeCell ref="D450:I450"/>
    <mergeCell ref="K454:O454"/>
    <mergeCell ref="D180:I180"/>
    <mergeCell ref="K184:O184"/>
    <mergeCell ref="C259:O260"/>
    <mergeCell ref="D270:I270"/>
    <mergeCell ref="K274:O274"/>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25" priority="21" stopIfTrue="1" operator="equal">
      <formula>$I$92</formula>
    </cfRule>
  </conditionalFormatting>
  <conditionalFormatting sqref="C191:C250">
    <cfRule type="cellIs" dxfId="24" priority="10" stopIfTrue="1" operator="equal">
      <formula>$I$92</formula>
    </cfRule>
  </conditionalFormatting>
  <conditionalFormatting sqref="C281:C340">
    <cfRule type="cellIs" dxfId="23" priority="9" stopIfTrue="1" operator="equal">
      <formula>$I$92</formula>
    </cfRule>
  </conditionalFormatting>
  <conditionalFormatting sqref="C371:C430">
    <cfRule type="cellIs" dxfId="22" priority="8" stopIfTrue="1" operator="equal">
      <formula>$I$92</formula>
    </cfRule>
  </conditionalFormatting>
  <conditionalFormatting sqref="C461:C520">
    <cfRule type="cellIs" dxfId="21" priority="7" stopIfTrue="1" operator="equal">
      <formula>$I$92</formula>
    </cfRule>
  </conditionalFormatting>
  <conditionalFormatting sqref="C551:C610">
    <cfRule type="cellIs" dxfId="20" priority="6" stopIfTrue="1" operator="equal">
      <formula>$I$92</formula>
    </cfRule>
  </conditionalFormatting>
  <conditionalFormatting sqref="C641:C700">
    <cfRule type="cellIs" dxfId="19" priority="5" stopIfTrue="1" operator="equal">
      <formula>$I$92</formula>
    </cfRule>
  </conditionalFormatting>
  <conditionalFormatting sqref="C731:C790">
    <cfRule type="cellIs" dxfId="18" priority="4" stopIfTrue="1" operator="equal">
      <formula>$I$92</formula>
    </cfRule>
  </conditionalFormatting>
  <conditionalFormatting sqref="C821:C880">
    <cfRule type="cellIs" dxfId="17" priority="3" stopIfTrue="1" operator="equal">
      <formula>$I$92</formula>
    </cfRule>
  </conditionalFormatting>
  <conditionalFormatting sqref="C911:C970">
    <cfRule type="cellIs" dxfId="16" priority="2" stopIfTrue="1" operator="equal">
      <formula>$I$92</formula>
    </cfRule>
  </conditionalFormatting>
  <conditionalFormatting sqref="C1001:C1060">
    <cfRule type="cellIs" dxfId="1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Q1035"/>
  <sheetViews>
    <sheetView view="pageBreakPreview" topLeftCell="A61" zoomScale="70" zoomScaleNormal="70" zoomScaleSheetLayoutView="70" workbookViewId="0">
      <selection activeCell="D93" sqref="D93"/>
    </sheetView>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8" t="s">
        <v>408</v>
      </c>
    </row>
    <row r="2" spans="1:17" ht="15.75">
      <c r="A2" s="1008" t="s">
        <v>408</v>
      </c>
    </row>
    <row r="3" spans="1:17"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c r="N3" s="1510" t="str">
        <f>TCOS!$F$5</f>
        <v>AEPTCo subsidiaries in PJM</v>
      </c>
      <c r="O3" s="1510" t="str">
        <f>TCOS!$F$5</f>
        <v>AEPTCo subsidiaries in PJM</v>
      </c>
      <c r="P3" s="1510" t="str">
        <f>TCOS!$F$5</f>
        <v>AEPTCo subsidiaries in PJM</v>
      </c>
      <c r="Q3" s="156"/>
    </row>
    <row r="4" spans="1:17" ht="15">
      <c r="A4" s="1543" t="str">
        <f>"Cost of Service Formula Rate Using Actual/Projected FF1 Balances"</f>
        <v>Cost of Service Formula Rate Using Actual/Projected FF1 Balances</v>
      </c>
      <c r="B4" s="1543"/>
      <c r="C4" s="1543"/>
      <c r="D4" s="1543"/>
      <c r="E4" s="1543"/>
      <c r="F4" s="1543"/>
      <c r="G4" s="1543"/>
      <c r="H4" s="1543"/>
      <c r="I4" s="1543"/>
      <c r="J4" s="1543"/>
      <c r="K4" s="1543"/>
      <c r="L4" s="1543"/>
      <c r="M4" s="1543"/>
      <c r="N4" s="1543"/>
      <c r="O4" s="1543"/>
      <c r="P4" s="1543"/>
      <c r="Q4" s="156"/>
    </row>
    <row r="5" spans="1:17" ht="15">
      <c r="A5" s="1543" t="s">
        <v>257</v>
      </c>
      <c r="B5" s="1543"/>
      <c r="C5" s="1543"/>
      <c r="D5" s="1543"/>
      <c r="E5" s="1543"/>
      <c r="F5" s="1543"/>
      <c r="G5" s="1543"/>
      <c r="H5" s="1543"/>
      <c r="I5" s="1543"/>
      <c r="J5" s="1543"/>
      <c r="K5" s="1543"/>
      <c r="L5" s="1543"/>
      <c r="M5" s="1543"/>
      <c r="N5" s="1543"/>
      <c r="O5" s="1543"/>
      <c r="P5" s="1543"/>
      <c r="Q5" s="156"/>
    </row>
    <row r="6" spans="1:17" ht="15">
      <c r="A6" s="1544" t="str">
        <f>TCOS!F9</f>
        <v>West Virginia Transmission Company</v>
      </c>
      <c r="B6" s="1544"/>
      <c r="C6" s="1544"/>
      <c r="D6" s="1544"/>
      <c r="E6" s="1544"/>
      <c r="F6" s="1544"/>
      <c r="G6" s="1544"/>
      <c r="H6" s="1544"/>
      <c r="I6" s="1544"/>
      <c r="J6" s="1544"/>
      <c r="K6" s="1544"/>
      <c r="L6" s="1544"/>
      <c r="M6" s="1544"/>
      <c r="N6" s="1544"/>
      <c r="O6" s="1544"/>
      <c r="P6" s="1544"/>
      <c r="Q6" s="156"/>
    </row>
    <row r="7" spans="1:17">
      <c r="Q7" s="156"/>
    </row>
    <row r="8" spans="1:17" ht="20.25">
      <c r="A8" s="653"/>
      <c r="C8" s="393"/>
      <c r="O8" s="654" t="str">
        <f>"Page "&amp;Q8&amp;" of "</f>
        <v xml:space="preserve">Page 1 of </v>
      </c>
      <c r="P8" s="655">
        <f>COUNT(Q$8:Q$57702)</f>
        <v>12</v>
      </c>
      <c r="Q8" s="656">
        <v>1</v>
      </c>
    </row>
    <row r="9" spans="1:17" ht="18">
      <c r="C9" s="657"/>
      <c r="Q9" s="156"/>
    </row>
    <row r="10" spans="1:17">
      <c r="Q10" s="156"/>
    </row>
    <row r="11" spans="1:17" ht="18">
      <c r="B11" s="658" t="s">
        <v>463</v>
      </c>
      <c r="C11" s="1570" t="str">
        <f>"Calculate Return and Income Taxes with "&amp;F17&amp;" basis point ROE increase for Projects Qualified for Regional Billing."</f>
        <v>Calculate Return and Income Taxes with 0 basis point ROE increase for Projects Qualified for Regional Billing.</v>
      </c>
      <c r="D11" s="1571"/>
      <c r="E11" s="1571"/>
      <c r="F11" s="1571"/>
      <c r="G11" s="1571"/>
      <c r="H11" s="1571"/>
      <c r="I11" s="1571"/>
      <c r="Q11" s="156"/>
    </row>
    <row r="12" spans="1:17" ht="18.75" customHeight="1">
      <c r="C12" s="1571"/>
      <c r="D12" s="1571"/>
      <c r="E12" s="1571"/>
      <c r="F12" s="1571"/>
      <c r="G12" s="1571"/>
      <c r="H12" s="1571"/>
      <c r="I12" s="1571"/>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43</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234</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45</v>
      </c>
      <c r="O19" s="665" t="s">
        <v>46</v>
      </c>
      <c r="P19" s="820" t="s">
        <v>47</v>
      </c>
    </row>
    <row r="20" spans="3:17">
      <c r="C20" s="665"/>
      <c r="D20" s="670" t="s">
        <v>438</v>
      </c>
      <c r="E20" s="670" t="s">
        <v>437</v>
      </c>
      <c r="F20" s="671" t="s">
        <v>44</v>
      </c>
      <c r="G20" s="671"/>
      <c r="H20" s="662"/>
      <c r="I20" s="664"/>
      <c r="J20" s="664"/>
      <c r="K20" s="665"/>
      <c r="L20" s="819" t="s">
        <v>232</v>
      </c>
      <c r="M20" s="821" t="str">
        <f>+TCOS!O3</f>
        <v xml:space="preserve"> </v>
      </c>
      <c r="N20" s="427"/>
      <c r="O20" s="427"/>
      <c r="P20" s="822"/>
    </row>
    <row r="21" spans="3:17">
      <c r="C21" s="672" t="s">
        <v>48</v>
      </c>
      <c r="D21" s="823">
        <f>TCOS!H233</f>
        <v>0.46131831938863177</v>
      </c>
      <c r="E21" s="674">
        <f>TCOS!J233</f>
        <v>3.6458684207821758E-2</v>
      </c>
      <c r="F21" s="675">
        <f>E21*D21</f>
        <v>1.6819058925873182E-2</v>
      </c>
      <c r="G21" s="675"/>
      <c r="H21" s="662"/>
      <c r="I21" s="664"/>
      <c r="J21" s="676"/>
      <c r="K21" s="677"/>
      <c r="L21" s="824"/>
      <c r="M21" s="766" t="s">
        <v>233</v>
      </c>
      <c r="N21" s="961">
        <f>M88+M174+M261+M348+M435+M522+M609+M696+M783+M870+M957</f>
        <v>51629251.031287171</v>
      </c>
      <c r="O21" s="961">
        <f>N88+N174+N261+N348+N435+N522+N609+N696+N783+N870+N957</f>
        <v>51629251.031287171</v>
      </c>
      <c r="P21" s="825">
        <f>+O21-N21</f>
        <v>0</v>
      </c>
    </row>
    <row r="22" spans="3:17" ht="13.5" thickBot="1">
      <c r="C22" s="672" t="s">
        <v>49</v>
      </c>
      <c r="D22" s="823">
        <f>TCOS!H234</f>
        <v>0</v>
      </c>
      <c r="E22" s="674">
        <f>TCOS!J234</f>
        <v>0</v>
      </c>
      <c r="F22" s="675">
        <f>E22*D22</f>
        <v>0</v>
      </c>
      <c r="G22" s="675"/>
      <c r="H22" s="678"/>
      <c r="I22" s="678"/>
      <c r="J22" s="679"/>
      <c r="K22" s="680"/>
      <c r="L22" s="824"/>
      <c r="M22" s="766" t="s">
        <v>620</v>
      </c>
      <c r="N22" s="962">
        <f>M89+M175+M262+M349+M436+M523+M610+M697+M784+M871+M958</f>
        <v>52520690.772772737</v>
      </c>
      <c r="O22" s="962">
        <f>N89+N175+N262+N349+N436+N523+N610+N697+N784+N871+N958</f>
        <v>52520690.772772737</v>
      </c>
      <c r="P22" s="826">
        <f>+O22-N22</f>
        <v>0</v>
      </c>
      <c r="Q22" s="680"/>
    </row>
    <row r="23" spans="3:17">
      <c r="C23" s="681" t="s">
        <v>29</v>
      </c>
      <c r="D23" s="823">
        <f>TCOS!I235</f>
        <v>0.53868168061136823</v>
      </c>
      <c r="E23" s="674">
        <f>+F18</f>
        <v>0.10349999999999999</v>
      </c>
      <c r="F23" s="682">
        <f>E23*D23</f>
        <v>5.5753553943276607E-2</v>
      </c>
      <c r="G23" s="682"/>
      <c r="H23" s="678"/>
      <c r="I23" s="678"/>
      <c r="J23" s="679"/>
      <c r="K23" s="680"/>
      <c r="L23" s="824"/>
      <c r="M23" s="766" t="str">
        <f>"True-up of ARR For "&amp;TCOS!L4&amp;""</f>
        <v>True-up of ARR For 2022</v>
      </c>
      <c r="N23" s="737">
        <f>+N22-N21</f>
        <v>891439.7414855659</v>
      </c>
      <c r="O23" s="737">
        <f>+O22-O21</f>
        <v>891439.7414855659</v>
      </c>
      <c r="P23" s="827">
        <f>+P22-P21</f>
        <v>0</v>
      </c>
      <c r="Q23" s="680"/>
    </row>
    <row r="24" spans="3:17">
      <c r="C24" s="661"/>
      <c r="D24" s="173"/>
      <c r="E24" s="683" t="s">
        <v>50</v>
      </c>
      <c r="F24" s="675">
        <f>SUM(F21:F23)</f>
        <v>7.2572612869149788E-2</v>
      </c>
      <c r="G24" s="675"/>
      <c r="H24" s="678"/>
      <c r="I24" s="678"/>
      <c r="J24" s="679"/>
      <c r="K24" s="680"/>
      <c r="L24" s="824"/>
      <c r="M24" s="427"/>
      <c r="N24" s="427"/>
      <c r="O24" s="427"/>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1668211131.6948524</v>
      </c>
      <c r="F28" s="831"/>
      <c r="G28" s="831"/>
      <c r="H28" s="689"/>
      <c r="I28" s="689"/>
      <c r="J28" s="689"/>
      <c r="K28" s="689"/>
      <c r="L28" s="689"/>
      <c r="M28" s="689"/>
      <c r="N28" s="689"/>
      <c r="O28" s="689"/>
      <c r="P28" s="831"/>
      <c r="Q28" s="689"/>
    </row>
    <row r="29" spans="3:17">
      <c r="C29" s="665" t="s">
        <v>52</v>
      </c>
      <c r="D29" s="701"/>
      <c r="E29" s="675">
        <f>F24</f>
        <v>7.2572612869149788E-2</v>
      </c>
      <c r="F29" s="689"/>
      <c r="G29" s="689"/>
      <c r="H29" s="689"/>
      <c r="I29" s="689"/>
      <c r="J29" s="689"/>
      <c r="K29" s="689"/>
      <c r="L29" s="689"/>
      <c r="M29" s="689"/>
      <c r="N29" s="689"/>
      <c r="O29" s="689"/>
      <c r="P29" s="689"/>
      <c r="Q29" s="689"/>
    </row>
    <row r="30" spans="3:17">
      <c r="C30" s="702" t="s">
        <v>53</v>
      </c>
      <c r="D30" s="702"/>
      <c r="E30" s="679">
        <f>E28*E29</f>
        <v>121066440.64449677</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54</v>
      </c>
      <c r="D34" s="683"/>
      <c r="E34" s="707">
        <f>E30</f>
        <v>121066440.64449677</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0.27137661326607793</v>
      </c>
      <c r="F35" s="314"/>
      <c r="G35" s="314"/>
      <c r="H35" s="314"/>
      <c r="I35" s="709"/>
      <c r="J35" s="314"/>
      <c r="K35" s="427"/>
      <c r="Q35" s="427"/>
    </row>
    <row r="36" spans="2:17">
      <c r="C36" s="703" t="s">
        <v>55</v>
      </c>
      <c r="D36" s="539"/>
      <c r="E36" s="710">
        <f>E34*E35</f>
        <v>32854600.642282177</v>
      </c>
      <c r="F36" s="314"/>
      <c r="G36" s="314"/>
      <c r="H36" s="314"/>
      <c r="I36" s="709"/>
      <c r="J36" s="314"/>
      <c r="K36" s="427"/>
      <c r="Q36" s="427"/>
    </row>
    <row r="37" spans="2:17" ht="15">
      <c r="C37" s="661" t="s">
        <v>97</v>
      </c>
      <c r="D37" s="326"/>
      <c r="E37" s="711">
        <f>TCOS!L178</f>
        <v>0</v>
      </c>
      <c r="F37" s="326"/>
      <c r="G37" s="326"/>
      <c r="H37" s="326"/>
      <c r="I37" s="326"/>
      <c r="J37" s="326"/>
      <c r="K37" s="326"/>
      <c r="L37" s="326"/>
      <c r="M37" s="326"/>
      <c r="N37" s="326"/>
      <c r="O37" s="326"/>
      <c r="P37" s="231"/>
      <c r="Q37" s="326"/>
    </row>
    <row r="38" spans="2:17" ht="15">
      <c r="C38" s="661" t="s">
        <v>552</v>
      </c>
      <c r="D38" s="326"/>
      <c r="E38" s="711">
        <f>TCOS!L179</f>
        <v>715290.30337128812</v>
      </c>
      <c r="F38" s="326"/>
      <c r="G38" s="326"/>
      <c r="H38" s="326"/>
      <c r="I38" s="326"/>
      <c r="J38" s="326"/>
      <c r="K38" s="326"/>
      <c r="L38" s="326"/>
      <c r="M38" s="326"/>
      <c r="N38" s="326"/>
      <c r="O38" s="326"/>
      <c r="P38" s="231"/>
      <c r="Q38" s="326"/>
    </row>
    <row r="39" spans="2:17" ht="15">
      <c r="C39" s="661" t="s">
        <v>554</v>
      </c>
      <c r="D39" s="326"/>
      <c r="E39" s="832">
        <f>TCOS!L180</f>
        <v>440297.25318891526</v>
      </c>
      <c r="F39" s="326"/>
      <c r="G39" s="326"/>
      <c r="H39" s="326"/>
      <c r="I39" s="326"/>
      <c r="J39" s="326"/>
      <c r="K39" s="326"/>
      <c r="L39" s="326"/>
      <c r="M39" s="326"/>
      <c r="N39" s="326"/>
      <c r="O39" s="326"/>
      <c r="P39" s="231"/>
      <c r="Q39" s="326"/>
    </row>
    <row r="40" spans="2:17" ht="15">
      <c r="C40" s="703" t="s">
        <v>56</v>
      </c>
      <c r="D40" s="326"/>
      <c r="E40" s="711">
        <f>E36+E37+E38+E39</f>
        <v>34010188.198842384</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464</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253</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240661371.94340038</v>
      </c>
      <c r="G47" s="711"/>
      <c r="H47" s="833" t="s">
        <v>408</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121066440.64449677</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34010188.198842384</v>
      </c>
      <c r="G50" s="718"/>
      <c r="H50" s="714"/>
      <c r="I50" s="714"/>
      <c r="J50" s="719"/>
      <c r="K50" s="719"/>
      <c r="L50" s="719"/>
      <c r="M50" s="719"/>
      <c r="N50" s="719"/>
      <c r="O50" s="719"/>
      <c r="P50" s="714"/>
      <c r="Q50" s="719"/>
    </row>
    <row r="51" spans="2:17">
      <c r="B51" s="348"/>
      <c r="C51" s="1579" t="s">
        <v>621</v>
      </c>
      <c r="D51" s="1580"/>
      <c r="E51" s="714"/>
      <c r="F51" s="716">
        <f>F47-F49-F50-F48</f>
        <v>85584743.100061238</v>
      </c>
      <c r="G51" s="716"/>
      <c r="H51" s="720"/>
      <c r="I51" s="714"/>
      <c r="J51" s="720"/>
      <c r="K51" s="720"/>
      <c r="L51" s="720"/>
      <c r="M51" s="720"/>
      <c r="N51" s="720"/>
      <c r="O51" s="720"/>
      <c r="P51" s="720"/>
      <c r="Q51" s="720"/>
    </row>
    <row r="52" spans="2:17">
      <c r="B52" s="348"/>
      <c r="C52" s="1580"/>
      <c r="D52" s="1580"/>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85584743.100061238</v>
      </c>
      <c r="G55" s="711"/>
      <c r="H55" s="714"/>
      <c r="I55" s="714"/>
      <c r="J55" s="714"/>
      <c r="K55" s="714"/>
      <c r="L55" s="714"/>
      <c r="M55" s="714"/>
      <c r="N55" s="714"/>
      <c r="O55" s="714"/>
      <c r="P55" s="724"/>
      <c r="Q55" s="714"/>
    </row>
    <row r="56" spans="2:17">
      <c r="B56" s="348"/>
      <c r="C56" s="665" t="s">
        <v>94</v>
      </c>
      <c r="D56" s="725"/>
      <c r="E56" s="726"/>
      <c r="F56" s="727">
        <f>E30</f>
        <v>121066440.64449677</v>
      </c>
      <c r="G56" s="727"/>
      <c r="H56" s="726"/>
      <c r="I56" s="834"/>
      <c r="J56" s="726"/>
      <c r="K56" s="726"/>
      <c r="L56" s="726"/>
      <c r="M56" s="726"/>
      <c r="N56" s="726"/>
      <c r="O56" s="726"/>
      <c r="P56" s="726"/>
      <c r="Q56" s="726"/>
    </row>
    <row r="57" spans="2:17" ht="12.75" customHeight="1">
      <c r="B57" s="348"/>
      <c r="C57" s="661" t="s">
        <v>62</v>
      </c>
      <c r="D57" s="714"/>
      <c r="E57" s="714"/>
      <c r="F57" s="718">
        <f>E40</f>
        <v>34010188.198842384</v>
      </c>
      <c r="G57" s="718"/>
      <c r="H57" s="314"/>
      <c r="I57" s="709"/>
      <c r="J57" s="314"/>
      <c r="K57" s="427"/>
      <c r="Q57" s="427"/>
    </row>
    <row r="58" spans="2:17">
      <c r="B58" s="348"/>
      <c r="C58" s="726" t="str">
        <f>"   Annual Revenue Requirement, with "&amp;F17&amp;" Basis Point ROE increase"</f>
        <v xml:space="preserve">   Annual Revenue Requirement, with 0 Basis Point ROE increase</v>
      </c>
      <c r="D58" s="539"/>
      <c r="E58" s="314"/>
      <c r="F58" s="710">
        <f>SUM(F55:F57)</f>
        <v>240661371.94340038</v>
      </c>
      <c r="G58" s="710"/>
      <c r="H58" s="314"/>
      <c r="I58" s="709"/>
      <c r="J58" s="314"/>
      <c r="K58" s="427"/>
      <c r="Q58" s="427"/>
    </row>
    <row r="59" spans="2:17">
      <c r="B59" s="348"/>
      <c r="C59" s="661" t="str">
        <f>"   Depreciation  (TCOS, ln "&amp;TCOS!B154&amp;")"</f>
        <v xml:space="preserve">   Depreciation  (TCOS, ln 83)</v>
      </c>
      <c r="D59" s="539"/>
      <c r="E59" s="314"/>
      <c r="F59" s="728">
        <f>TCOS!L154</f>
        <v>45901005</v>
      </c>
      <c r="G59" s="728"/>
      <c r="H59" s="710"/>
      <c r="I59" s="709"/>
      <c r="J59" s="314"/>
      <c r="K59" s="427"/>
      <c r="Q59" s="427"/>
    </row>
    <row r="60" spans="2:17">
      <c r="B60" s="348"/>
      <c r="C60" s="1581" t="str">
        <f>"   Annual Rev. Req, w/ "&amp;F17&amp;" Basis Point ROE increase, less Depreciation"</f>
        <v xml:space="preserve">   Annual Rev. Req, w/ 0 Basis Point ROE increase, less Depreciation</v>
      </c>
      <c r="D60" s="1571"/>
      <c r="E60" s="314"/>
      <c r="F60" s="710">
        <f>F58-F59</f>
        <v>194760366.94340038</v>
      </c>
      <c r="G60" s="710"/>
      <c r="H60" s="314"/>
      <c r="I60" s="709"/>
      <c r="J60" s="314"/>
      <c r="K60" s="427"/>
      <c r="Q60" s="427"/>
    </row>
    <row r="61" spans="2:17">
      <c r="B61" s="348"/>
      <c r="C61" s="1571"/>
      <c r="D61" s="1571"/>
      <c r="E61" s="314"/>
      <c r="F61" s="314"/>
      <c r="G61" s="314"/>
      <c r="H61" s="314"/>
      <c r="I61" s="709"/>
      <c r="J61" s="314"/>
      <c r="K61" s="427"/>
      <c r="Q61" s="427"/>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7"/>
      <c r="Q62" s="427"/>
    </row>
    <row r="63" spans="2:17">
      <c r="B63" s="348"/>
      <c r="C63" s="314"/>
      <c r="D63" s="539"/>
      <c r="E63" s="314"/>
      <c r="F63" s="314"/>
      <c r="G63" s="314"/>
      <c r="H63" s="314"/>
      <c r="I63" s="709"/>
      <c r="J63" s="314"/>
      <c r="K63" s="427"/>
      <c r="Q63" s="427"/>
    </row>
    <row r="64" spans="2:17">
      <c r="B64" s="348"/>
      <c r="C64" s="661" t="str">
        <f>"   Net Transmission Plant  (Projected TCOS, ln "&amp;TCOS!B79&amp;")"</f>
        <v xml:space="preserve">   Net Transmission Plant  (Projected TCOS, ln 33)</v>
      </c>
      <c r="D64" s="539"/>
      <c r="E64" s="314"/>
      <c r="F64" s="710">
        <f>TCOS!L79</f>
        <v>1749968710.7123077</v>
      </c>
      <c r="G64" s="710"/>
      <c r="H64" s="710"/>
      <c r="I64" s="835"/>
      <c r="J64" s="314"/>
      <c r="K64" s="427"/>
      <c r="Q64" s="427"/>
    </row>
    <row r="65" spans="2:17">
      <c r="B65" s="348"/>
      <c r="C65" s="726" t="str">
        <f>"   Annual Revenue Requirement, with "&amp;F17&amp;" Basis Point ROE increase"</f>
        <v xml:space="preserve">   Annual Revenue Requirement, with 0 Basis Point ROE increase</v>
      </c>
      <c r="D65" s="539"/>
      <c r="E65" s="314"/>
      <c r="F65" s="710">
        <f>F58</f>
        <v>240661371.94340038</v>
      </c>
      <c r="G65" s="710"/>
      <c r="H65" s="314"/>
      <c r="I65" s="709"/>
      <c r="J65" s="314"/>
      <c r="K65" s="427"/>
      <c r="Q65" s="427"/>
    </row>
    <row r="66" spans="2:17">
      <c r="B66" s="348"/>
      <c r="C66" s="726" t="str">
        <f>"   FCR with "&amp;F17&amp;" Basis Point increase in ROE"</f>
        <v xml:space="preserve">   FCR with 0 Basis Point increase in ROE</v>
      </c>
      <c r="D66" s="539"/>
      <c r="E66" s="314"/>
      <c r="F66" s="708">
        <f>IF(F64=0,0,F65/F64)</f>
        <v>0.13752324282726261</v>
      </c>
      <c r="G66" s="708"/>
      <c r="H66" s="708"/>
      <c r="I66" s="709"/>
      <c r="J66" s="314"/>
      <c r="K66" s="427"/>
      <c r="Q66" s="427"/>
    </row>
    <row r="67" spans="2:17">
      <c r="B67" s="348"/>
      <c r="C67" s="209"/>
      <c r="D67" s="539"/>
      <c r="E67" s="314"/>
      <c r="F67" s="348"/>
      <c r="G67" s="348"/>
      <c r="H67" s="314"/>
      <c r="I67" s="709"/>
      <c r="J67" s="314"/>
      <c r="K67" s="427"/>
      <c r="Q67" s="427"/>
    </row>
    <row r="68" spans="2:17">
      <c r="B68" s="348"/>
      <c r="C68" s="726" t="str">
        <f>"   Annual Rev. Req, w / "&amp;F17&amp;" Basis Point ROE increase, less Dep."</f>
        <v xml:space="preserve">   Annual Rev. Req, w / 0 Basis Point ROE increase, less Dep.</v>
      </c>
      <c r="D68" s="539"/>
      <c r="E68" s="314"/>
      <c r="F68" s="710">
        <f>F60</f>
        <v>194760366.94340038</v>
      </c>
      <c r="G68" s="710"/>
      <c r="H68" s="314"/>
      <c r="I68" s="709"/>
      <c r="J68" s="314"/>
      <c r="K68" s="427"/>
      <c r="Q68" s="427"/>
    </row>
    <row r="69" spans="2:17">
      <c r="B69" s="348"/>
      <c r="C69" s="726" t="str">
        <f>"   FCR with "&amp;F17&amp;" Basis Point ROE increase, less Depreciation"</f>
        <v xml:space="preserve">   FCR with 0 Basis Point ROE increase, less Depreciation</v>
      </c>
      <c r="D69" s="539"/>
      <c r="E69" s="314"/>
      <c r="F69" s="708">
        <f>IF(F68=0,0,F68/F64)</f>
        <v>0.11129362813814259</v>
      </c>
      <c r="G69" s="708"/>
      <c r="H69" s="314"/>
      <c r="I69" s="709"/>
      <c r="J69" s="314"/>
      <c r="K69" s="427"/>
      <c r="Q69" s="427"/>
    </row>
    <row r="70" spans="2:17">
      <c r="B70" s="348"/>
      <c r="C70" s="661" t="str">
        <f>"   FCR less Depreciation  (TCOS, ln "&amp;TCOS!B31&amp;")"</f>
        <v xml:space="preserve">   FCR less Depreciation  (TCOS, ln 10)</v>
      </c>
      <c r="D70" s="539"/>
      <c r="E70" s="314"/>
      <c r="F70" s="730">
        <f>TCOS!L31</f>
        <v>0.11129362813814259</v>
      </c>
      <c r="G70" s="730"/>
      <c r="H70" s="314"/>
      <c r="I70" s="709"/>
      <c r="J70" s="314"/>
      <c r="K70" s="427"/>
      <c r="Q70" s="427"/>
    </row>
    <row r="71" spans="2:17">
      <c r="B71" s="348"/>
      <c r="C71" s="1581" t="str">
        <f>"   Incremental FCR with "&amp;F17&amp;" Basis Point ROE increase, less Depreciation"</f>
        <v xml:space="preserve">   Incremental FCR with 0 Basis Point ROE increase, less Depreciation</v>
      </c>
      <c r="D71" s="1571"/>
      <c r="E71" s="314"/>
      <c r="F71" s="708">
        <f>F69-F70</f>
        <v>0</v>
      </c>
      <c r="G71" s="708"/>
      <c r="H71" s="314"/>
      <c r="I71" s="709"/>
      <c r="J71" s="314"/>
      <c r="K71" s="427"/>
      <c r="Q71" s="427"/>
    </row>
    <row r="72" spans="2:17">
      <c r="B72" s="348"/>
      <c r="C72" s="1571"/>
      <c r="D72" s="1571"/>
      <c r="E72" s="314"/>
      <c r="F72" s="708"/>
      <c r="G72" s="708"/>
      <c r="H72" s="314"/>
      <c r="I72" s="709"/>
      <c r="J72" s="314"/>
      <c r="K72" s="427"/>
      <c r="Q72" s="427"/>
    </row>
    <row r="73" spans="2:17" ht="18.75">
      <c r="B73" s="658" t="s">
        <v>465</v>
      </c>
      <c r="C73" s="657" t="s">
        <v>63</v>
      </c>
      <c r="D73" s="539"/>
      <c r="E73" s="314"/>
      <c r="F73" s="708"/>
      <c r="G73" s="708"/>
      <c r="H73" s="314"/>
      <c r="I73" s="709"/>
      <c r="J73" s="314"/>
      <c r="K73" s="427"/>
      <c r="Q73" s="427"/>
    </row>
    <row r="74" spans="2:17">
      <c r="B74" s="348"/>
      <c r="C74" s="726"/>
      <c r="D74" s="539"/>
      <c r="E74" s="314"/>
      <c r="F74" s="708"/>
      <c r="G74" s="708"/>
      <c r="H74" s="314"/>
      <c r="I74" s="709"/>
      <c r="J74" s="314"/>
      <c r="K74" s="427"/>
      <c r="Q74" s="427"/>
    </row>
    <row r="75" spans="2:17">
      <c r="B75" s="348"/>
      <c r="C75" s="726" t="str">
        <f>+"Average Transmission Plant Balance for "&amp;TCOS!L4&amp;" TCOS, ln "&amp;TCOS!B63</f>
        <v>Average Transmission Plant Balance for 2022 TCOS, ln 19</v>
      </c>
      <c r="D75" s="539"/>
      <c r="E75" s="314"/>
      <c r="F75" s="314"/>
      <c r="G75" s="314"/>
      <c r="H75" s="709">
        <f>TCOS!L63</f>
        <v>1894188507.5315385</v>
      </c>
      <c r="J75" s="314"/>
      <c r="K75" s="427"/>
      <c r="Q75" s="427"/>
    </row>
    <row r="76" spans="2:17">
      <c r="B76" s="348"/>
      <c r="C76" s="726" t="str">
        <f>"Annual Depreciation and Amortization Expense (TCOS, ln "&amp;TCOS!B154&amp;")"</f>
        <v>Annual Depreciation and Amortization Expense (TCOS, ln 83)</v>
      </c>
      <c r="D76" s="539"/>
      <c r="E76" s="314"/>
      <c r="H76" s="490">
        <f>TCOS!L154</f>
        <v>45901005</v>
      </c>
      <c r="I76" s="709"/>
      <c r="J76" s="314"/>
      <c r="K76" s="427"/>
      <c r="Q76" s="427"/>
    </row>
    <row r="77" spans="2:17">
      <c r="B77" s="348"/>
      <c r="C77" s="726" t="s">
        <v>64</v>
      </c>
      <c r="D77" s="539"/>
      <c r="E77" s="314"/>
      <c r="H77" s="904">
        <f>H76/H75</f>
        <v>2.423254328568232E-2</v>
      </c>
      <c r="I77" s="732"/>
      <c r="J77" s="1572"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572"/>
      <c r="L77" s="1572"/>
      <c r="M77" s="1572"/>
      <c r="N77" s="1572"/>
      <c r="O77" s="1572"/>
      <c r="P77" s="1572"/>
      <c r="Q77" s="659"/>
    </row>
    <row r="78" spans="2:17">
      <c r="B78" s="348"/>
      <c r="C78" s="726" t="s">
        <v>65</v>
      </c>
      <c r="D78" s="539"/>
      <c r="E78" s="314"/>
      <c r="H78" s="733">
        <f>IF(H77=0,0,1/H77)</f>
        <v>41.26681992107882</v>
      </c>
      <c r="I78" s="709"/>
      <c r="J78" s="1572"/>
      <c r="K78" s="1572"/>
      <c r="L78" s="1572"/>
      <c r="M78" s="1572"/>
      <c r="N78" s="1572"/>
      <c r="O78" s="1572"/>
      <c r="P78" s="1572"/>
      <c r="Q78" s="659"/>
    </row>
    <row r="79" spans="2:17">
      <c r="B79" s="348"/>
      <c r="C79" s="726" t="s">
        <v>590</v>
      </c>
      <c r="D79" s="539"/>
      <c r="E79" s="314"/>
      <c r="H79" s="735">
        <f>ROUND(H78,0)</f>
        <v>41</v>
      </c>
      <c r="I79" s="709"/>
      <c r="J79" s="1572"/>
      <c r="K79" s="1572"/>
      <c r="L79" s="1572"/>
      <c r="M79" s="1572"/>
      <c r="N79" s="1572"/>
      <c r="O79" s="1572"/>
      <c r="P79" s="1572"/>
      <c r="Q79" s="659"/>
    </row>
    <row r="80" spans="2:17">
      <c r="B80" s="348"/>
      <c r="C80" s="726"/>
      <c r="D80" s="539"/>
      <c r="E80" s="314"/>
      <c r="H80" s="735"/>
      <c r="I80" s="709"/>
      <c r="J80" s="1572"/>
      <c r="K80" s="1572"/>
      <c r="L80" s="1572"/>
      <c r="M80" s="1572"/>
      <c r="N80" s="1572"/>
      <c r="O80" s="1572"/>
      <c r="P80" s="1572"/>
    </row>
    <row r="81" spans="1:17" ht="20.25">
      <c r="A81" s="738" t="str">
        <f>""&amp;A6&amp;" Worksheet K -  ATRR TRUE-UP Calculation for PJM Projects Charged to Benefiting Zones"</f>
        <v>West Virginia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12</v>
      </c>
      <c r="Q81" s="739">
        <v>1</v>
      </c>
    </row>
    <row r="82" spans="1:17">
      <c r="B82" s="348"/>
      <c r="C82" s="314"/>
      <c r="D82" s="539"/>
      <c r="E82" s="314"/>
      <c r="F82" s="314"/>
      <c r="G82" s="314"/>
      <c r="H82" s="314"/>
      <c r="I82" s="709"/>
      <c r="J82" s="314"/>
      <c r="K82" s="427"/>
    </row>
    <row r="83" spans="1:17" ht="18">
      <c r="B83" s="658" t="s">
        <v>466</v>
      </c>
      <c r="C83" s="740" t="s">
        <v>85</v>
      </c>
      <c r="D83" s="539"/>
      <c r="E83" s="314"/>
      <c r="F83" s="314"/>
      <c r="G83" s="314"/>
      <c r="H83" s="314"/>
      <c r="I83" s="709"/>
      <c r="J83" s="709"/>
      <c r="K83" s="731"/>
      <c r="L83" s="709"/>
      <c r="M83" s="709"/>
      <c r="N83" s="709"/>
      <c r="O83" s="709"/>
      <c r="Q83" s="427"/>
    </row>
    <row r="84" spans="1:17" ht="18.75">
      <c r="B84" s="658"/>
      <c r="C84" s="657"/>
      <c r="D84" s="539"/>
      <c r="E84" s="314"/>
      <c r="F84" s="314"/>
      <c r="G84" s="314"/>
      <c r="H84" s="314"/>
      <c r="I84" s="709"/>
      <c r="J84" s="709"/>
      <c r="K84" s="731"/>
      <c r="L84" s="709"/>
      <c r="M84" s="709"/>
      <c r="N84" s="709"/>
      <c r="O84" s="709"/>
    </row>
    <row r="85" spans="1:17" ht="18.75">
      <c r="B85" s="658"/>
      <c r="C85" s="657" t="s">
        <v>86</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87</v>
      </c>
      <c r="D87" s="539"/>
      <c r="E87" s="314"/>
      <c r="F87" s="314"/>
      <c r="G87" s="314"/>
      <c r="H87" s="807"/>
      <c r="I87" s="314" t="s">
        <v>66</v>
      </c>
      <c r="J87" s="314"/>
      <c r="K87" s="427"/>
      <c r="L87" s="836">
        <f>+J93</f>
        <v>2022</v>
      </c>
      <c r="M87" s="817" t="s">
        <v>45</v>
      </c>
      <c r="N87" s="817" t="s">
        <v>46</v>
      </c>
      <c r="O87" s="818" t="s">
        <v>47</v>
      </c>
    </row>
    <row r="88" spans="1:17" ht="15.75">
      <c r="C88" s="660"/>
      <c r="D88" s="539"/>
      <c r="E88" s="314"/>
      <c r="F88" s="314"/>
      <c r="H88" s="314"/>
      <c r="I88" s="745"/>
      <c r="J88" s="745"/>
      <c r="K88" s="746"/>
      <c r="L88" s="837" t="s">
        <v>235</v>
      </c>
      <c r="M88" s="838">
        <f>VLOOKUP(J93,C100:P159,10)</f>
        <v>247920.29655146488</v>
      </c>
      <c r="N88" s="838">
        <f>VLOOKUP(J93,C100:P159,12)</f>
        <v>247920.29655146488</v>
      </c>
      <c r="O88" s="839">
        <f>+N88-M88</f>
        <v>0</v>
      </c>
    </row>
    <row r="89" spans="1:17">
      <c r="C89" s="750" t="s">
        <v>88</v>
      </c>
      <c r="D89" s="1567" t="s">
        <v>810</v>
      </c>
      <c r="E89" s="1567"/>
      <c r="F89" s="1567"/>
      <c r="G89" s="1567"/>
      <c r="H89" s="1567"/>
      <c r="I89" s="1567"/>
      <c r="J89" s="709"/>
      <c r="K89" s="731"/>
      <c r="L89" s="837" t="s">
        <v>236</v>
      </c>
      <c r="M89" s="840">
        <f>VLOOKUP(J93,C100:P159,6)</f>
        <v>252243.79628099583</v>
      </c>
      <c r="N89" s="840">
        <f>VLOOKUP(J93,C100:P159,7)</f>
        <v>252243.79628099583</v>
      </c>
      <c r="O89" s="841">
        <f>+N89-M89</f>
        <v>0</v>
      </c>
    </row>
    <row r="90" spans="1:17" ht="13.5" thickBot="1">
      <c r="C90" s="754"/>
      <c r="D90" s="755"/>
      <c r="E90" s="735"/>
      <c r="F90" s="735"/>
      <c r="G90" s="735"/>
      <c r="H90" s="756"/>
      <c r="I90" s="709"/>
      <c r="J90" s="709"/>
      <c r="K90" s="731"/>
      <c r="L90" s="773" t="s">
        <v>237</v>
      </c>
      <c r="M90" s="842">
        <f>+M89-M88</f>
        <v>4323.499729530944</v>
      </c>
      <c r="N90" s="842">
        <f>+N89-N88</f>
        <v>4323.499729530944</v>
      </c>
      <c r="O90" s="843">
        <f>+O89-O88</f>
        <v>0</v>
      </c>
    </row>
    <row r="91" spans="1:17" ht="13.5" thickBot="1">
      <c r="C91" s="757"/>
      <c r="D91" s="758"/>
      <c r="E91" s="756"/>
      <c r="F91" s="756"/>
      <c r="G91" s="756"/>
      <c r="H91" s="756"/>
      <c r="I91" s="756"/>
      <c r="J91" s="756"/>
      <c r="K91" s="759"/>
      <c r="L91" s="756"/>
      <c r="M91" s="756"/>
      <c r="N91" s="756"/>
      <c r="O91" s="756"/>
      <c r="P91" s="348"/>
    </row>
    <row r="92" spans="1:17" ht="13.5" thickBot="1">
      <c r="C92" s="760" t="s">
        <v>89</v>
      </c>
      <c r="D92" s="761"/>
      <c r="E92" s="761"/>
      <c r="F92" s="761"/>
      <c r="G92" s="761"/>
      <c r="H92" s="761"/>
      <c r="I92" s="761"/>
      <c r="J92" s="761"/>
      <c r="K92" s="763"/>
      <c r="P92" s="764"/>
    </row>
    <row r="93" spans="1:17" ht="15">
      <c r="C93" s="765" t="s">
        <v>67</v>
      </c>
      <c r="D93" s="809">
        <v>2191536.2599999998</v>
      </c>
      <c r="E93" s="726" t="s">
        <v>68</v>
      </c>
      <c r="H93" s="766"/>
      <c r="I93" s="766"/>
      <c r="J93" s="767">
        <v>2022</v>
      </c>
      <c r="K93" s="555"/>
      <c r="L93" s="1569" t="s">
        <v>69</v>
      </c>
      <c r="M93" s="1569"/>
      <c r="N93" s="1569"/>
      <c r="O93" s="1569"/>
      <c r="P93" s="427"/>
    </row>
    <row r="94" spans="1:17">
      <c r="C94" s="765" t="s">
        <v>70</v>
      </c>
      <c r="D94" s="810">
        <v>2014</v>
      </c>
      <c r="E94" s="765" t="s">
        <v>71</v>
      </c>
      <c r="F94" s="766"/>
      <c r="G94" s="766"/>
      <c r="I94" s="173"/>
      <c r="J94" s="811">
        <f>IF(H87="",0,$F$17)</f>
        <v>0</v>
      </c>
      <c r="K94" s="768"/>
      <c r="L94" s="731" t="s">
        <v>277</v>
      </c>
      <c r="P94" s="427"/>
    </row>
    <row r="95" spans="1:17">
      <c r="C95" s="765" t="s">
        <v>72</v>
      </c>
      <c r="D95" s="809">
        <v>11</v>
      </c>
      <c r="E95" s="765" t="s">
        <v>73</v>
      </c>
      <c r="F95" s="766"/>
      <c r="G95" s="766"/>
      <c r="I95" s="173"/>
      <c r="J95" s="769">
        <f>$F$70</f>
        <v>0.11129362813814259</v>
      </c>
      <c r="K95" s="770"/>
      <c r="L95" s="314" t="str">
        <f>"          INPUT TRUE-UP ARR (WITH &amp; WITHOUT INCENTIVES) FROM EACH PRIOR YEAR"</f>
        <v xml:space="preserve">          INPUT TRUE-UP ARR (WITH &amp; WITHOUT INCENTIVES) FROM EACH PRIOR YEAR</v>
      </c>
      <c r="P95" s="427"/>
    </row>
    <row r="96" spans="1:17">
      <c r="C96" s="765" t="s">
        <v>74</v>
      </c>
      <c r="D96" s="771">
        <f>H$79</f>
        <v>41</v>
      </c>
      <c r="E96" s="765" t="s">
        <v>75</v>
      </c>
      <c r="F96" s="766"/>
      <c r="G96" s="766"/>
      <c r="I96" s="173"/>
      <c r="J96" s="769">
        <f>IF(H87="",+J95,$F$69)</f>
        <v>0.11129362813814259</v>
      </c>
      <c r="K96" s="772"/>
      <c r="L96" s="314" t="s">
        <v>157</v>
      </c>
      <c r="M96" s="772"/>
      <c r="N96" s="772"/>
      <c r="O96" s="772"/>
      <c r="P96" s="427"/>
    </row>
    <row r="97" spans="2:16" ht="13.5" thickBot="1">
      <c r="C97" s="765" t="s">
        <v>76</v>
      </c>
      <c r="D97" s="808" t="s">
        <v>811</v>
      </c>
      <c r="E97" s="773" t="s">
        <v>77</v>
      </c>
      <c r="F97" s="774"/>
      <c r="G97" s="774"/>
      <c r="H97" s="775"/>
      <c r="I97" s="775"/>
      <c r="J97" s="753">
        <f>IF(D93=0,0,D93/D96)</f>
        <v>53452.103902439019</v>
      </c>
      <c r="K97" s="731"/>
      <c r="L97" s="731" t="s">
        <v>158</v>
      </c>
      <c r="M97" s="731"/>
      <c r="N97" s="731"/>
      <c r="O97" s="731"/>
      <c r="P97" s="427"/>
    </row>
    <row r="98" spans="2:16" ht="38.25">
      <c r="B98" s="846"/>
      <c r="C98" s="776" t="s">
        <v>67</v>
      </c>
      <c r="D98" s="777" t="s">
        <v>78</v>
      </c>
      <c r="E98" s="778" t="s">
        <v>79</v>
      </c>
      <c r="F98" s="777" t="s">
        <v>80</v>
      </c>
      <c r="G98" s="777" t="s">
        <v>238</v>
      </c>
      <c r="H98" s="778" t="s">
        <v>151</v>
      </c>
      <c r="I98" s="779" t="s">
        <v>151</v>
      </c>
      <c r="J98" s="776" t="s">
        <v>90</v>
      </c>
      <c r="K98" s="780"/>
      <c r="L98" s="778" t="s">
        <v>153</v>
      </c>
      <c r="M98" s="778" t="s">
        <v>159</v>
      </c>
      <c r="N98" s="778" t="s">
        <v>153</v>
      </c>
      <c r="O98" s="778" t="s">
        <v>161</v>
      </c>
      <c r="P98" s="778" t="s">
        <v>81</v>
      </c>
    </row>
    <row r="99" spans="2:16" ht="13.5" thickBot="1">
      <c r="C99" s="782" t="s">
        <v>469</v>
      </c>
      <c r="D99" s="783" t="s">
        <v>470</v>
      </c>
      <c r="E99" s="782" t="s">
        <v>363</v>
      </c>
      <c r="F99" s="783" t="s">
        <v>470</v>
      </c>
      <c r="G99" s="783" t="s">
        <v>470</v>
      </c>
      <c r="H99" s="784" t="s">
        <v>93</v>
      </c>
      <c r="I99" s="785" t="s">
        <v>95</v>
      </c>
      <c r="J99" s="786" t="s">
        <v>15</v>
      </c>
      <c r="K99" s="787"/>
      <c r="L99" s="784" t="s">
        <v>82</v>
      </c>
      <c r="M99" s="784" t="s">
        <v>82</v>
      </c>
      <c r="N99" s="784" t="s">
        <v>255</v>
      </c>
      <c r="O99" s="784" t="s">
        <v>255</v>
      </c>
      <c r="P99" s="784" t="s">
        <v>255</v>
      </c>
    </row>
    <row r="100" spans="2:16">
      <c r="C100" s="789">
        <f>IF(D94= "","-",D94)</f>
        <v>2014</v>
      </c>
      <c r="D100" s="737">
        <f>+D93</f>
        <v>2191536.2599999998</v>
      </c>
      <c r="E100" s="795">
        <f>+J97/12*(12-D95)</f>
        <v>4454.3419918699183</v>
      </c>
      <c r="F100" s="844">
        <f t="shared" ref="F100:F159" si="0">+D100-E100</f>
        <v>2187081.91800813</v>
      </c>
      <c r="G100" s="737">
        <f>+(D100+F100)/2</f>
        <v>2189309.0890040649</v>
      </c>
      <c r="H100" s="791">
        <f>+J95*G100+E100</f>
        <v>248110.49362294402</v>
      </c>
      <c r="I100" s="792">
        <f>+J96*G100+E100</f>
        <v>248110.49362294402</v>
      </c>
      <c r="J100" s="793">
        <f>+I100-H100</f>
        <v>0</v>
      </c>
      <c r="K100" s="793"/>
      <c r="L100" s="812">
        <v>541349</v>
      </c>
      <c r="M100" s="845">
        <f t="shared" ref="M100:M159" si="1">IF(L100&lt;&gt;0,+H100-L100,0)</f>
        <v>-293238.50637705601</v>
      </c>
      <c r="N100" s="812">
        <v>541349</v>
      </c>
      <c r="O100" s="845">
        <f t="shared" ref="O100:O159" si="2">IF(N100&lt;&gt;0,+I100-N100,0)</f>
        <v>-293238.50637705601</v>
      </c>
      <c r="P100" s="845">
        <f t="shared" ref="P100:P159" si="3">+O100-M100</f>
        <v>0</v>
      </c>
    </row>
    <row r="101" spans="2:16">
      <c r="C101" s="789">
        <f>IF(D94="","-",+C100+1)</f>
        <v>2015</v>
      </c>
      <c r="D101" s="737">
        <f t="shared" ref="D101:D159" si="4">F100</f>
        <v>2187081.91800813</v>
      </c>
      <c r="E101" s="790">
        <f>IF(D101&gt;$J$97,$J$97,D101)</f>
        <v>53452.103902439019</v>
      </c>
      <c r="F101" s="790">
        <f t="shared" si="0"/>
        <v>2133629.8141056909</v>
      </c>
      <c r="G101" s="737">
        <f t="shared" ref="G101:G159" si="5">+(D101+F101)/2</f>
        <v>2160355.8660569107</v>
      </c>
      <c r="H101" s="795">
        <f>+J95*G101+E101</f>
        <v>293885.94630543183</v>
      </c>
      <c r="I101" s="796">
        <f>+J96*G101+E101</f>
        <v>293885.94630543183</v>
      </c>
      <c r="J101" s="793">
        <f>+I101-H101</f>
        <v>0</v>
      </c>
      <c r="K101" s="793"/>
      <c r="L101" s="813">
        <v>511336</v>
      </c>
      <c r="M101" s="793">
        <f t="shared" si="1"/>
        <v>-217450.05369456817</v>
      </c>
      <c r="N101" s="813">
        <v>511336</v>
      </c>
      <c r="O101" s="793">
        <f t="shared" si="2"/>
        <v>-217450.05369456817</v>
      </c>
      <c r="P101" s="793">
        <f t="shared" si="3"/>
        <v>0</v>
      </c>
    </row>
    <row r="102" spans="2:16">
      <c r="C102" s="789">
        <f>IF(D94="","-",+C101+1)</f>
        <v>2016</v>
      </c>
      <c r="D102" s="737">
        <f t="shared" si="4"/>
        <v>2133629.8141056909</v>
      </c>
      <c r="E102" s="790">
        <f t="shared" ref="E102:E159" si="6">IF(D102&gt;$J$97,$J$97,D102)</f>
        <v>53452.103902439019</v>
      </c>
      <c r="F102" s="790">
        <f t="shared" si="0"/>
        <v>2080177.7102032518</v>
      </c>
      <c r="G102" s="737">
        <f t="shared" si="5"/>
        <v>2106903.7621544711</v>
      </c>
      <c r="H102" s="795">
        <f>+J95*G102+E102</f>
        <v>287937.06773051235</v>
      </c>
      <c r="I102" s="796">
        <f>+J96*G102+E102</f>
        <v>287937.06773051235</v>
      </c>
      <c r="J102" s="793">
        <f t="shared" ref="J102:J159" si="7">+I102-H102</f>
        <v>0</v>
      </c>
      <c r="K102" s="793"/>
      <c r="L102" s="813">
        <v>498629</v>
      </c>
      <c r="M102" s="793">
        <f t="shared" si="1"/>
        <v>-210691.93226948765</v>
      </c>
      <c r="N102" s="813">
        <v>498629</v>
      </c>
      <c r="O102" s="793">
        <f t="shared" si="2"/>
        <v>-210691.93226948765</v>
      </c>
      <c r="P102" s="793">
        <f t="shared" si="3"/>
        <v>0</v>
      </c>
    </row>
    <row r="103" spans="2:16">
      <c r="C103" s="789">
        <f>IF(D94="","-",+C102+1)</f>
        <v>2017</v>
      </c>
      <c r="D103" s="737">
        <f t="shared" si="4"/>
        <v>2080177.7102032518</v>
      </c>
      <c r="E103" s="790">
        <f t="shared" si="6"/>
        <v>53452.103902439019</v>
      </c>
      <c r="F103" s="790">
        <f t="shared" si="0"/>
        <v>2026725.6063008127</v>
      </c>
      <c r="G103" s="737">
        <f t="shared" si="5"/>
        <v>2053451.6582520322</v>
      </c>
      <c r="H103" s="795">
        <f>+J95*G103+E103</f>
        <v>281988.18915559293</v>
      </c>
      <c r="I103" s="796">
        <f>+J96*G103+E103</f>
        <v>281988.18915559293</v>
      </c>
      <c r="J103" s="793">
        <f t="shared" si="7"/>
        <v>0</v>
      </c>
      <c r="K103" s="793"/>
      <c r="L103" s="813">
        <v>544400</v>
      </c>
      <c r="M103" s="793">
        <f t="shared" si="1"/>
        <v>-262411.81084440707</v>
      </c>
      <c r="N103" s="813">
        <v>544400</v>
      </c>
      <c r="O103" s="793">
        <f t="shared" si="2"/>
        <v>-262411.81084440707</v>
      </c>
      <c r="P103" s="793">
        <f t="shared" si="3"/>
        <v>0</v>
      </c>
    </row>
    <row r="104" spans="2:16">
      <c r="C104" s="789">
        <f>IF(D94="","-",+C103+1)</f>
        <v>2018</v>
      </c>
      <c r="D104" s="1377">
        <f t="shared" si="4"/>
        <v>2026725.6063008127</v>
      </c>
      <c r="E104" s="790">
        <f t="shared" si="6"/>
        <v>53452.103902439019</v>
      </c>
      <c r="F104" s="790">
        <f t="shared" si="0"/>
        <v>1973273.5023983736</v>
      </c>
      <c r="G104" s="737">
        <f t="shared" si="5"/>
        <v>1999999.5543495931</v>
      </c>
      <c r="H104" s="795">
        <f>+J95*G104+E104</f>
        <v>276039.31058067351</v>
      </c>
      <c r="I104" s="796">
        <f>+J96*G104+E104</f>
        <v>276039.31058067351</v>
      </c>
      <c r="J104" s="793">
        <f t="shared" si="7"/>
        <v>0</v>
      </c>
      <c r="K104" s="793"/>
      <c r="L104" s="813">
        <v>473613</v>
      </c>
      <c r="M104" s="793">
        <f t="shared" si="1"/>
        <v>-197573.68941932649</v>
      </c>
      <c r="N104" s="813">
        <v>473613</v>
      </c>
      <c r="O104" s="793">
        <f t="shared" si="2"/>
        <v>-197573.68941932649</v>
      </c>
      <c r="P104" s="793">
        <f t="shared" si="3"/>
        <v>0</v>
      </c>
    </row>
    <row r="105" spans="2:16">
      <c r="C105" s="789">
        <f>IF(D94="","-",+C104+1)</f>
        <v>2019</v>
      </c>
      <c r="D105" s="737">
        <f t="shared" si="4"/>
        <v>1973273.5023983736</v>
      </c>
      <c r="E105" s="790">
        <f t="shared" si="6"/>
        <v>53452.103902439019</v>
      </c>
      <c r="F105" s="790">
        <f t="shared" si="0"/>
        <v>1919821.3984959344</v>
      </c>
      <c r="G105" s="737">
        <f t="shared" si="5"/>
        <v>1946547.450447154</v>
      </c>
      <c r="H105" s="795">
        <f>+J95*G105+E105</f>
        <v>270090.43200575409</v>
      </c>
      <c r="I105" s="796">
        <f>+J96*G105+E105</f>
        <v>270090.43200575409</v>
      </c>
      <c r="J105" s="793">
        <f t="shared" si="7"/>
        <v>0</v>
      </c>
      <c r="K105" s="793"/>
      <c r="L105" s="813">
        <v>252229.32222652514</v>
      </c>
      <c r="M105" s="793">
        <f t="shared" si="1"/>
        <v>17861.109779228951</v>
      </c>
      <c r="N105" s="813">
        <v>252229.32222652514</v>
      </c>
      <c r="O105" s="793">
        <f t="shared" si="2"/>
        <v>17861.109779228951</v>
      </c>
      <c r="P105" s="793">
        <f t="shared" si="3"/>
        <v>0</v>
      </c>
    </row>
    <row r="106" spans="2:16">
      <c r="C106" s="789">
        <f>IF(D94="","-",+C105+1)</f>
        <v>2020</v>
      </c>
      <c r="D106" s="737">
        <f t="shared" si="4"/>
        <v>1919821.3984959344</v>
      </c>
      <c r="E106" s="790">
        <f t="shared" si="6"/>
        <v>53452.103902439019</v>
      </c>
      <c r="F106" s="790">
        <f t="shared" si="0"/>
        <v>1866369.2945934953</v>
      </c>
      <c r="G106" s="737">
        <f t="shared" si="5"/>
        <v>1893095.3465447149</v>
      </c>
      <c r="H106" s="795">
        <f>+J95*G106+E106</f>
        <v>264141.55343083467</v>
      </c>
      <c r="I106" s="796">
        <f>+J96*G106+E106</f>
        <v>264141.55343083467</v>
      </c>
      <c r="J106" s="793">
        <f t="shared" si="7"/>
        <v>0</v>
      </c>
      <c r="K106" s="793"/>
      <c r="L106" s="813">
        <v>248392.52487603013</v>
      </c>
      <c r="M106" s="793">
        <f t="shared" si="1"/>
        <v>15749.028554804536</v>
      </c>
      <c r="N106" s="813">
        <v>248392.52487603013</v>
      </c>
      <c r="O106" s="793">
        <f t="shared" si="2"/>
        <v>15749.028554804536</v>
      </c>
      <c r="P106" s="793">
        <f t="shared" si="3"/>
        <v>0</v>
      </c>
    </row>
    <row r="107" spans="2:16">
      <c r="C107" s="789">
        <f>IF(D94="","-",+C106+1)</f>
        <v>2021</v>
      </c>
      <c r="D107" s="737">
        <f t="shared" si="4"/>
        <v>1866369.2945934953</v>
      </c>
      <c r="E107" s="790">
        <f t="shared" si="6"/>
        <v>53452.103902439019</v>
      </c>
      <c r="F107" s="790">
        <f t="shared" si="0"/>
        <v>1812917.1906910562</v>
      </c>
      <c r="G107" s="737">
        <f t="shared" si="5"/>
        <v>1839643.2426422758</v>
      </c>
      <c r="H107" s="795">
        <f>+J95*G107+E107</f>
        <v>258192.67485591525</v>
      </c>
      <c r="I107" s="796">
        <f>+J96*G107+E107</f>
        <v>258192.67485591525</v>
      </c>
      <c r="J107" s="793">
        <f t="shared" si="7"/>
        <v>0</v>
      </c>
      <c r="K107" s="793"/>
      <c r="L107" s="813">
        <v>248895.58724251486</v>
      </c>
      <c r="M107" s="793">
        <f t="shared" si="1"/>
        <v>9297.087613400392</v>
      </c>
      <c r="N107" s="813">
        <v>248895.58724251486</v>
      </c>
      <c r="O107" s="793">
        <f t="shared" si="2"/>
        <v>9297.087613400392</v>
      </c>
      <c r="P107" s="793">
        <f t="shared" si="3"/>
        <v>0</v>
      </c>
    </row>
    <row r="108" spans="2:16">
      <c r="C108" s="789">
        <f>IF(D94="","-",+C107+1)</f>
        <v>2022</v>
      </c>
      <c r="D108" s="737">
        <f t="shared" si="4"/>
        <v>1812917.1906910562</v>
      </c>
      <c r="E108" s="790">
        <f t="shared" si="6"/>
        <v>53452.103902439019</v>
      </c>
      <c r="F108" s="790">
        <f t="shared" si="0"/>
        <v>1759465.0867886171</v>
      </c>
      <c r="G108" s="737">
        <f t="shared" si="5"/>
        <v>1786191.1387398366</v>
      </c>
      <c r="H108" s="795">
        <f>+J95*G108+E108</f>
        <v>252243.79628099583</v>
      </c>
      <c r="I108" s="796">
        <f>+J96*G108+E108</f>
        <v>252243.79628099583</v>
      </c>
      <c r="J108" s="793">
        <f t="shared" si="7"/>
        <v>0</v>
      </c>
      <c r="K108" s="793"/>
      <c r="L108" s="813">
        <v>247920.29655146488</v>
      </c>
      <c r="M108" s="793">
        <f t="shared" si="1"/>
        <v>4323.499729530944</v>
      </c>
      <c r="N108" s="813">
        <v>247920.29655146488</v>
      </c>
      <c r="O108" s="793">
        <f t="shared" si="2"/>
        <v>4323.499729530944</v>
      </c>
      <c r="P108" s="793">
        <f t="shared" si="3"/>
        <v>0</v>
      </c>
    </row>
    <row r="109" spans="2:16">
      <c r="C109" s="789">
        <f>IF(D94="","-",+C108+1)</f>
        <v>2023</v>
      </c>
      <c r="D109" s="737">
        <f t="shared" si="4"/>
        <v>1759465.0867886171</v>
      </c>
      <c r="E109" s="790">
        <f t="shared" si="6"/>
        <v>53452.103902439019</v>
      </c>
      <c r="F109" s="790">
        <f t="shared" si="0"/>
        <v>1706012.982886178</v>
      </c>
      <c r="G109" s="737">
        <f t="shared" si="5"/>
        <v>1732739.0348373975</v>
      </c>
      <c r="H109" s="795">
        <f>+J95*G109+E109</f>
        <v>246294.91770607641</v>
      </c>
      <c r="I109" s="796">
        <f>+J96*G109+E109</f>
        <v>246294.91770607641</v>
      </c>
      <c r="J109" s="793">
        <f t="shared" si="7"/>
        <v>0</v>
      </c>
      <c r="K109" s="793"/>
      <c r="L109" s="813"/>
      <c r="M109" s="793">
        <f t="shared" si="1"/>
        <v>0</v>
      </c>
      <c r="N109" s="813"/>
      <c r="O109" s="793">
        <f t="shared" si="2"/>
        <v>0</v>
      </c>
      <c r="P109" s="793">
        <f t="shared" si="3"/>
        <v>0</v>
      </c>
    </row>
    <row r="110" spans="2:16">
      <c r="C110" s="789">
        <f>IF(D94="","-",+C109+1)</f>
        <v>2024</v>
      </c>
      <c r="D110" s="737">
        <f t="shared" si="4"/>
        <v>1706012.982886178</v>
      </c>
      <c r="E110" s="790">
        <f t="shared" si="6"/>
        <v>53452.103902439019</v>
      </c>
      <c r="F110" s="790">
        <f t="shared" si="0"/>
        <v>1652560.8789837388</v>
      </c>
      <c r="G110" s="737">
        <f t="shared" si="5"/>
        <v>1679286.9309349584</v>
      </c>
      <c r="H110" s="795">
        <f>+J95*G110+E110</f>
        <v>240346.03913115698</v>
      </c>
      <c r="I110" s="796">
        <f>+J96*G110+E110</f>
        <v>240346.03913115698</v>
      </c>
      <c r="J110" s="793">
        <f t="shared" si="7"/>
        <v>0</v>
      </c>
      <c r="K110" s="793"/>
      <c r="L110" s="813"/>
      <c r="M110" s="793">
        <f t="shared" si="1"/>
        <v>0</v>
      </c>
      <c r="N110" s="813"/>
      <c r="O110" s="793">
        <f t="shared" si="2"/>
        <v>0</v>
      </c>
      <c r="P110" s="793">
        <f t="shared" si="3"/>
        <v>0</v>
      </c>
    </row>
    <row r="111" spans="2:16">
      <c r="C111" s="789">
        <f>IF(D94="","-",+C110+1)</f>
        <v>2025</v>
      </c>
      <c r="D111" s="737">
        <f t="shared" si="4"/>
        <v>1652560.8789837388</v>
      </c>
      <c r="E111" s="790">
        <f t="shared" si="6"/>
        <v>53452.103902439019</v>
      </c>
      <c r="F111" s="790">
        <f t="shared" si="0"/>
        <v>1599108.7750812997</v>
      </c>
      <c r="G111" s="737">
        <f t="shared" si="5"/>
        <v>1625834.8270325193</v>
      </c>
      <c r="H111" s="795">
        <f>+J95*G111+E111</f>
        <v>234397.16055623756</v>
      </c>
      <c r="I111" s="796">
        <f>+J96*G111+E111</f>
        <v>234397.16055623756</v>
      </c>
      <c r="J111" s="793">
        <f t="shared" si="7"/>
        <v>0</v>
      </c>
      <c r="K111" s="793"/>
      <c r="L111" s="813"/>
      <c r="M111" s="793">
        <f t="shared" si="1"/>
        <v>0</v>
      </c>
      <c r="N111" s="813"/>
      <c r="O111" s="793">
        <f t="shared" si="2"/>
        <v>0</v>
      </c>
      <c r="P111" s="793">
        <f t="shared" si="3"/>
        <v>0</v>
      </c>
    </row>
    <row r="112" spans="2:16">
      <c r="C112" s="789">
        <f>IF(D94="","-",+C111+1)</f>
        <v>2026</v>
      </c>
      <c r="D112" s="737">
        <f t="shared" si="4"/>
        <v>1599108.7750812997</v>
      </c>
      <c r="E112" s="790">
        <f t="shared" si="6"/>
        <v>53452.103902439019</v>
      </c>
      <c r="F112" s="790">
        <f t="shared" si="0"/>
        <v>1545656.6711788606</v>
      </c>
      <c r="G112" s="737">
        <f t="shared" si="5"/>
        <v>1572382.7231300802</v>
      </c>
      <c r="H112" s="795">
        <f>+J95*G112+E112</f>
        <v>228448.2819813182</v>
      </c>
      <c r="I112" s="796">
        <f>+J96*G112+E112</f>
        <v>228448.2819813182</v>
      </c>
      <c r="J112" s="793">
        <f t="shared" si="7"/>
        <v>0</v>
      </c>
      <c r="K112" s="793"/>
      <c r="L112" s="813"/>
      <c r="M112" s="793">
        <f t="shared" si="1"/>
        <v>0</v>
      </c>
      <c r="N112" s="813"/>
      <c r="O112" s="793">
        <f t="shared" si="2"/>
        <v>0</v>
      </c>
      <c r="P112" s="793">
        <f t="shared" si="3"/>
        <v>0</v>
      </c>
    </row>
    <row r="113" spans="3:16">
      <c r="C113" s="789">
        <f>IF(D94="","-",+C112+1)</f>
        <v>2027</v>
      </c>
      <c r="D113" s="737">
        <f t="shared" si="4"/>
        <v>1545656.6711788606</v>
      </c>
      <c r="E113" s="790">
        <f t="shared" si="6"/>
        <v>53452.103902439019</v>
      </c>
      <c r="F113" s="790">
        <f t="shared" si="0"/>
        <v>1492204.5672764215</v>
      </c>
      <c r="G113" s="737">
        <f t="shared" si="5"/>
        <v>1518930.619227641</v>
      </c>
      <c r="H113" s="795">
        <f>+J95*G113+E113</f>
        <v>222499.40340639878</v>
      </c>
      <c r="I113" s="796">
        <f>+J96*G113+E113</f>
        <v>222499.40340639878</v>
      </c>
      <c r="J113" s="793">
        <f t="shared" si="7"/>
        <v>0</v>
      </c>
      <c r="K113" s="793"/>
      <c r="L113" s="813"/>
      <c r="M113" s="793">
        <f t="shared" si="1"/>
        <v>0</v>
      </c>
      <c r="N113" s="813"/>
      <c r="O113" s="793">
        <f t="shared" si="2"/>
        <v>0</v>
      </c>
      <c r="P113" s="793">
        <f t="shared" si="3"/>
        <v>0</v>
      </c>
    </row>
    <row r="114" spans="3:16">
      <c r="C114" s="789">
        <f>IF(D94="","-",+C113+1)</f>
        <v>2028</v>
      </c>
      <c r="D114" s="737">
        <f t="shared" si="4"/>
        <v>1492204.5672764215</v>
      </c>
      <c r="E114" s="790">
        <f t="shared" si="6"/>
        <v>53452.103902439019</v>
      </c>
      <c r="F114" s="790">
        <f t="shared" si="0"/>
        <v>1438752.4633739823</v>
      </c>
      <c r="G114" s="737">
        <f t="shared" si="5"/>
        <v>1465478.5153252019</v>
      </c>
      <c r="H114" s="795">
        <f>+J95*G114+E114</f>
        <v>216550.52483147936</v>
      </c>
      <c r="I114" s="796">
        <f>+J96*G114+E114</f>
        <v>216550.52483147936</v>
      </c>
      <c r="J114" s="793">
        <f t="shared" si="7"/>
        <v>0</v>
      </c>
      <c r="K114" s="793"/>
      <c r="L114" s="813"/>
      <c r="M114" s="793">
        <f t="shared" si="1"/>
        <v>0</v>
      </c>
      <c r="N114" s="813"/>
      <c r="O114" s="793">
        <f t="shared" si="2"/>
        <v>0</v>
      </c>
      <c r="P114" s="793">
        <f t="shared" si="3"/>
        <v>0</v>
      </c>
    </row>
    <row r="115" spans="3:16">
      <c r="C115" s="789">
        <f>IF(D94="","-",+C114+1)</f>
        <v>2029</v>
      </c>
      <c r="D115" s="737">
        <f t="shared" si="4"/>
        <v>1438752.4633739823</v>
      </c>
      <c r="E115" s="790">
        <f t="shared" si="6"/>
        <v>53452.103902439019</v>
      </c>
      <c r="F115" s="790">
        <f t="shared" si="0"/>
        <v>1385300.3594715432</v>
      </c>
      <c r="G115" s="737">
        <f t="shared" si="5"/>
        <v>1412026.4114227628</v>
      </c>
      <c r="H115" s="795">
        <f>+J95*G115+E115</f>
        <v>210601.64625655994</v>
      </c>
      <c r="I115" s="796">
        <f>+J96*G115+E115</f>
        <v>210601.64625655994</v>
      </c>
      <c r="J115" s="793">
        <f t="shared" si="7"/>
        <v>0</v>
      </c>
      <c r="K115" s="793"/>
      <c r="L115" s="813"/>
      <c r="M115" s="793">
        <f t="shared" si="1"/>
        <v>0</v>
      </c>
      <c r="N115" s="813"/>
      <c r="O115" s="793">
        <f t="shared" si="2"/>
        <v>0</v>
      </c>
      <c r="P115" s="793">
        <f t="shared" si="3"/>
        <v>0</v>
      </c>
    </row>
    <row r="116" spans="3:16">
      <c r="C116" s="789">
        <f>IF(D94="","-",+C115+1)</f>
        <v>2030</v>
      </c>
      <c r="D116" s="737">
        <f t="shared" si="4"/>
        <v>1385300.3594715432</v>
      </c>
      <c r="E116" s="790">
        <f t="shared" si="6"/>
        <v>53452.103902439019</v>
      </c>
      <c r="F116" s="790">
        <f t="shared" si="0"/>
        <v>1331848.2555691041</v>
      </c>
      <c r="G116" s="737">
        <f t="shared" si="5"/>
        <v>1358574.3075203237</v>
      </c>
      <c r="H116" s="795">
        <f>+J95*G116+E116</f>
        <v>204652.76768164051</v>
      </c>
      <c r="I116" s="796">
        <f>+J96*G116+E116</f>
        <v>204652.76768164051</v>
      </c>
      <c r="J116" s="793">
        <f t="shared" si="7"/>
        <v>0</v>
      </c>
      <c r="K116" s="793"/>
      <c r="L116" s="813"/>
      <c r="M116" s="793">
        <f t="shared" si="1"/>
        <v>0</v>
      </c>
      <c r="N116" s="813"/>
      <c r="O116" s="793">
        <f t="shared" si="2"/>
        <v>0</v>
      </c>
      <c r="P116" s="793">
        <f t="shared" si="3"/>
        <v>0</v>
      </c>
    </row>
    <row r="117" spans="3:16">
      <c r="C117" s="789">
        <f>IF(D94="","-",+C116+1)</f>
        <v>2031</v>
      </c>
      <c r="D117" s="737">
        <f t="shared" si="4"/>
        <v>1331848.2555691041</v>
      </c>
      <c r="E117" s="790">
        <f t="shared" si="6"/>
        <v>53452.103902439019</v>
      </c>
      <c r="F117" s="790">
        <f t="shared" si="0"/>
        <v>1278396.151666665</v>
      </c>
      <c r="G117" s="737">
        <f t="shared" si="5"/>
        <v>1305122.2036178845</v>
      </c>
      <c r="H117" s="795">
        <f>+J95*G117+E117</f>
        <v>198703.88910672109</v>
      </c>
      <c r="I117" s="796">
        <f>+J96*G117+E117</f>
        <v>198703.88910672109</v>
      </c>
      <c r="J117" s="793">
        <f t="shared" si="7"/>
        <v>0</v>
      </c>
      <c r="K117" s="793"/>
      <c r="L117" s="813"/>
      <c r="M117" s="793">
        <f t="shared" si="1"/>
        <v>0</v>
      </c>
      <c r="N117" s="813"/>
      <c r="O117" s="793">
        <f t="shared" si="2"/>
        <v>0</v>
      </c>
      <c r="P117" s="793">
        <f t="shared" si="3"/>
        <v>0</v>
      </c>
    </row>
    <row r="118" spans="3:16">
      <c r="C118" s="789">
        <f>IF(D94="","-",+C117+1)</f>
        <v>2032</v>
      </c>
      <c r="D118" s="737">
        <f t="shared" si="4"/>
        <v>1278396.151666665</v>
      </c>
      <c r="E118" s="790">
        <f t="shared" si="6"/>
        <v>53452.103902439019</v>
      </c>
      <c r="F118" s="790">
        <f t="shared" si="0"/>
        <v>1224944.0477642259</v>
      </c>
      <c r="G118" s="737">
        <f t="shared" si="5"/>
        <v>1251670.0997154454</v>
      </c>
      <c r="H118" s="795">
        <f>+J95*G118+E118</f>
        <v>192755.01053180167</v>
      </c>
      <c r="I118" s="796">
        <f>+J96*G118+E118</f>
        <v>192755.01053180167</v>
      </c>
      <c r="J118" s="793">
        <f t="shared" si="7"/>
        <v>0</v>
      </c>
      <c r="K118" s="793"/>
      <c r="L118" s="813"/>
      <c r="M118" s="793">
        <f t="shared" si="1"/>
        <v>0</v>
      </c>
      <c r="N118" s="813"/>
      <c r="O118" s="793">
        <f t="shared" si="2"/>
        <v>0</v>
      </c>
      <c r="P118" s="793">
        <f t="shared" si="3"/>
        <v>0</v>
      </c>
    </row>
    <row r="119" spans="3:16">
      <c r="C119" s="789">
        <f>IF(D94="","-",+C118+1)</f>
        <v>2033</v>
      </c>
      <c r="D119" s="737">
        <f t="shared" si="4"/>
        <v>1224944.0477642259</v>
      </c>
      <c r="E119" s="790">
        <f t="shared" si="6"/>
        <v>53452.103902439019</v>
      </c>
      <c r="F119" s="790">
        <f t="shared" si="0"/>
        <v>1171491.9438617867</v>
      </c>
      <c r="G119" s="737">
        <f t="shared" si="5"/>
        <v>1198217.9958130063</v>
      </c>
      <c r="H119" s="795">
        <f>+J95*G119+E119</f>
        <v>186806.13195688225</v>
      </c>
      <c r="I119" s="796">
        <f>+J96*G119+E119</f>
        <v>186806.13195688225</v>
      </c>
      <c r="J119" s="793">
        <f t="shared" si="7"/>
        <v>0</v>
      </c>
      <c r="K119" s="793"/>
      <c r="L119" s="813"/>
      <c r="M119" s="793">
        <f t="shared" si="1"/>
        <v>0</v>
      </c>
      <c r="N119" s="813"/>
      <c r="O119" s="793">
        <f t="shared" si="2"/>
        <v>0</v>
      </c>
      <c r="P119" s="793">
        <f t="shared" si="3"/>
        <v>0</v>
      </c>
    </row>
    <row r="120" spans="3:16">
      <c r="C120" s="789">
        <f>IF(D94="","-",+C119+1)</f>
        <v>2034</v>
      </c>
      <c r="D120" s="737">
        <f t="shared" si="4"/>
        <v>1171491.9438617867</v>
      </c>
      <c r="E120" s="790">
        <f t="shared" si="6"/>
        <v>53452.103902439019</v>
      </c>
      <c r="F120" s="790">
        <f t="shared" si="0"/>
        <v>1118039.8399593476</v>
      </c>
      <c r="G120" s="737">
        <f t="shared" si="5"/>
        <v>1144765.8919105672</v>
      </c>
      <c r="H120" s="795">
        <f>+J95*G120+E120</f>
        <v>180857.25338196283</v>
      </c>
      <c r="I120" s="796">
        <f>+J96*G120+E120</f>
        <v>180857.25338196283</v>
      </c>
      <c r="J120" s="793">
        <f t="shared" si="7"/>
        <v>0</v>
      </c>
      <c r="K120" s="793"/>
      <c r="L120" s="813"/>
      <c r="M120" s="793">
        <f t="shared" si="1"/>
        <v>0</v>
      </c>
      <c r="N120" s="813"/>
      <c r="O120" s="793">
        <f t="shared" si="2"/>
        <v>0</v>
      </c>
      <c r="P120" s="793">
        <f t="shared" si="3"/>
        <v>0</v>
      </c>
    </row>
    <row r="121" spans="3:16">
      <c r="C121" s="789">
        <f>IF(D94="","-",+C120+1)</f>
        <v>2035</v>
      </c>
      <c r="D121" s="737">
        <f t="shared" si="4"/>
        <v>1118039.8399593476</v>
      </c>
      <c r="E121" s="790">
        <f t="shared" si="6"/>
        <v>53452.103902439019</v>
      </c>
      <c r="F121" s="790">
        <f t="shared" si="0"/>
        <v>1064587.7360569085</v>
      </c>
      <c r="G121" s="737">
        <f t="shared" si="5"/>
        <v>1091313.7880081281</v>
      </c>
      <c r="H121" s="795">
        <f>+J95*G121+E121</f>
        <v>174908.37480704341</v>
      </c>
      <c r="I121" s="796">
        <f>+J96*G121+E121</f>
        <v>174908.37480704341</v>
      </c>
      <c r="J121" s="793">
        <f t="shared" si="7"/>
        <v>0</v>
      </c>
      <c r="K121" s="793"/>
      <c r="L121" s="813"/>
      <c r="M121" s="793">
        <f t="shared" si="1"/>
        <v>0</v>
      </c>
      <c r="N121" s="813"/>
      <c r="O121" s="793">
        <f t="shared" si="2"/>
        <v>0</v>
      </c>
      <c r="P121" s="793">
        <f t="shared" si="3"/>
        <v>0</v>
      </c>
    </row>
    <row r="122" spans="3:16">
      <c r="C122" s="789">
        <f>IF(D94="","-",+C121+1)</f>
        <v>2036</v>
      </c>
      <c r="D122" s="737">
        <f t="shared" si="4"/>
        <v>1064587.7360569085</v>
      </c>
      <c r="E122" s="790">
        <f t="shared" si="6"/>
        <v>53452.103902439019</v>
      </c>
      <c r="F122" s="790">
        <f t="shared" si="0"/>
        <v>1011135.6321544695</v>
      </c>
      <c r="G122" s="737">
        <f t="shared" si="5"/>
        <v>1037861.6841056889</v>
      </c>
      <c r="H122" s="795">
        <f>+J95*G122+E122</f>
        <v>168959.49623212399</v>
      </c>
      <c r="I122" s="796">
        <f>+J96*G122+E122</f>
        <v>168959.49623212399</v>
      </c>
      <c r="J122" s="793">
        <f t="shared" si="7"/>
        <v>0</v>
      </c>
      <c r="K122" s="793"/>
      <c r="L122" s="813"/>
      <c r="M122" s="793">
        <f t="shared" si="1"/>
        <v>0</v>
      </c>
      <c r="N122" s="813"/>
      <c r="O122" s="793">
        <f t="shared" si="2"/>
        <v>0</v>
      </c>
      <c r="P122" s="793">
        <f t="shared" si="3"/>
        <v>0</v>
      </c>
    </row>
    <row r="123" spans="3:16">
      <c r="C123" s="789">
        <f>IF(D94="","-",+C122+1)</f>
        <v>2037</v>
      </c>
      <c r="D123" s="737">
        <f t="shared" si="4"/>
        <v>1011135.6321544695</v>
      </c>
      <c r="E123" s="790">
        <f t="shared" si="6"/>
        <v>53452.103902439019</v>
      </c>
      <c r="F123" s="790">
        <f t="shared" si="0"/>
        <v>957683.52825203049</v>
      </c>
      <c r="G123" s="737">
        <f t="shared" si="5"/>
        <v>984409.58020325005</v>
      </c>
      <c r="H123" s="795">
        <f>+J95*G123+E123</f>
        <v>163010.61765720457</v>
      </c>
      <c r="I123" s="796">
        <f>+J96*G123+E123</f>
        <v>163010.61765720457</v>
      </c>
      <c r="J123" s="793">
        <f t="shared" si="7"/>
        <v>0</v>
      </c>
      <c r="K123" s="793"/>
      <c r="L123" s="813"/>
      <c r="M123" s="793">
        <f t="shared" si="1"/>
        <v>0</v>
      </c>
      <c r="N123" s="813"/>
      <c r="O123" s="793">
        <f t="shared" si="2"/>
        <v>0</v>
      </c>
      <c r="P123" s="793">
        <f t="shared" si="3"/>
        <v>0</v>
      </c>
    </row>
    <row r="124" spans="3:16">
      <c r="C124" s="789">
        <f>IF(D94="","-",+C123+1)</f>
        <v>2038</v>
      </c>
      <c r="D124" s="737">
        <f t="shared" si="4"/>
        <v>957683.52825203049</v>
      </c>
      <c r="E124" s="790">
        <f t="shared" si="6"/>
        <v>53452.103902439019</v>
      </c>
      <c r="F124" s="790">
        <f t="shared" si="0"/>
        <v>904231.42434959149</v>
      </c>
      <c r="G124" s="737">
        <f t="shared" si="5"/>
        <v>930957.47630081093</v>
      </c>
      <c r="H124" s="795">
        <f>+J95*G124+E124</f>
        <v>157061.73908228514</v>
      </c>
      <c r="I124" s="796">
        <f>+J96*G124+E124</f>
        <v>157061.73908228514</v>
      </c>
      <c r="J124" s="793">
        <f t="shared" si="7"/>
        <v>0</v>
      </c>
      <c r="K124" s="793"/>
      <c r="L124" s="813"/>
      <c r="M124" s="793">
        <f t="shared" si="1"/>
        <v>0</v>
      </c>
      <c r="N124" s="813"/>
      <c r="O124" s="793">
        <f t="shared" si="2"/>
        <v>0</v>
      </c>
      <c r="P124" s="793">
        <f t="shared" si="3"/>
        <v>0</v>
      </c>
    </row>
    <row r="125" spans="3:16">
      <c r="C125" s="789">
        <f>IF(D94="","-",+C124+1)</f>
        <v>2039</v>
      </c>
      <c r="D125" s="737">
        <f t="shared" si="4"/>
        <v>904231.42434959149</v>
      </c>
      <c r="E125" s="790">
        <f t="shared" si="6"/>
        <v>53452.103902439019</v>
      </c>
      <c r="F125" s="790">
        <f t="shared" si="0"/>
        <v>850779.32044715248</v>
      </c>
      <c r="G125" s="737">
        <f t="shared" si="5"/>
        <v>877505.37239837204</v>
      </c>
      <c r="H125" s="795">
        <f>+J95*G125+E125</f>
        <v>151112.86050736578</v>
      </c>
      <c r="I125" s="796">
        <f>+J96*G125+E125</f>
        <v>151112.86050736578</v>
      </c>
      <c r="J125" s="793">
        <f t="shared" si="7"/>
        <v>0</v>
      </c>
      <c r="K125" s="793"/>
      <c r="L125" s="813"/>
      <c r="M125" s="793">
        <f t="shared" si="1"/>
        <v>0</v>
      </c>
      <c r="N125" s="813"/>
      <c r="O125" s="793">
        <f t="shared" si="2"/>
        <v>0</v>
      </c>
      <c r="P125" s="793">
        <f t="shared" si="3"/>
        <v>0</v>
      </c>
    </row>
    <row r="126" spans="3:16">
      <c r="C126" s="789">
        <f>IF(D94="","-",+C125+1)</f>
        <v>2040</v>
      </c>
      <c r="D126" s="737">
        <f t="shared" si="4"/>
        <v>850779.32044715248</v>
      </c>
      <c r="E126" s="790">
        <f t="shared" si="6"/>
        <v>53452.103902439019</v>
      </c>
      <c r="F126" s="790">
        <f t="shared" si="0"/>
        <v>797327.21654471348</v>
      </c>
      <c r="G126" s="737">
        <f t="shared" si="5"/>
        <v>824053.26849593292</v>
      </c>
      <c r="H126" s="795">
        <f>+J95*G126+E126</f>
        <v>145163.98193244636</v>
      </c>
      <c r="I126" s="796">
        <f>+J96*G126+E126</f>
        <v>145163.98193244636</v>
      </c>
      <c r="J126" s="793">
        <f t="shared" si="7"/>
        <v>0</v>
      </c>
      <c r="K126" s="793"/>
      <c r="L126" s="813"/>
      <c r="M126" s="793">
        <f t="shared" si="1"/>
        <v>0</v>
      </c>
      <c r="N126" s="813"/>
      <c r="O126" s="793">
        <f t="shared" si="2"/>
        <v>0</v>
      </c>
      <c r="P126" s="793">
        <f t="shared" si="3"/>
        <v>0</v>
      </c>
    </row>
    <row r="127" spans="3:16">
      <c r="C127" s="789">
        <f>IF(D94="","-",+C126+1)</f>
        <v>2041</v>
      </c>
      <c r="D127" s="737">
        <f t="shared" si="4"/>
        <v>797327.21654471348</v>
      </c>
      <c r="E127" s="790">
        <f t="shared" si="6"/>
        <v>53452.103902439019</v>
      </c>
      <c r="F127" s="790">
        <f t="shared" si="0"/>
        <v>743875.11264227447</v>
      </c>
      <c r="G127" s="737">
        <f t="shared" si="5"/>
        <v>770601.16459349403</v>
      </c>
      <c r="H127" s="795">
        <f>+J95*G127+E127</f>
        <v>139215.10335752694</v>
      </c>
      <c r="I127" s="796">
        <f>+J96*G127+E127</f>
        <v>139215.10335752694</v>
      </c>
      <c r="J127" s="793">
        <f t="shared" si="7"/>
        <v>0</v>
      </c>
      <c r="K127" s="793"/>
      <c r="L127" s="813"/>
      <c r="M127" s="793">
        <f t="shared" si="1"/>
        <v>0</v>
      </c>
      <c r="N127" s="813"/>
      <c r="O127" s="793">
        <f t="shared" si="2"/>
        <v>0</v>
      </c>
      <c r="P127" s="793">
        <f t="shared" si="3"/>
        <v>0</v>
      </c>
    </row>
    <row r="128" spans="3:16">
      <c r="C128" s="789">
        <f>IF(D94="","-",+C127+1)</f>
        <v>2042</v>
      </c>
      <c r="D128" s="737">
        <f t="shared" si="4"/>
        <v>743875.11264227447</v>
      </c>
      <c r="E128" s="790">
        <f t="shared" si="6"/>
        <v>53452.103902439019</v>
      </c>
      <c r="F128" s="790">
        <f t="shared" si="0"/>
        <v>690423.00873983547</v>
      </c>
      <c r="G128" s="737">
        <f t="shared" si="5"/>
        <v>717149.06069105491</v>
      </c>
      <c r="H128" s="795">
        <f>+J95*G128+E128</f>
        <v>133266.22478260752</v>
      </c>
      <c r="I128" s="796">
        <f>+J96*G128+E128</f>
        <v>133266.22478260752</v>
      </c>
      <c r="J128" s="793">
        <f t="shared" si="7"/>
        <v>0</v>
      </c>
      <c r="K128" s="793"/>
      <c r="L128" s="813"/>
      <c r="M128" s="793">
        <f t="shared" si="1"/>
        <v>0</v>
      </c>
      <c r="N128" s="813"/>
      <c r="O128" s="793">
        <f t="shared" si="2"/>
        <v>0</v>
      </c>
      <c r="P128" s="793">
        <f t="shared" si="3"/>
        <v>0</v>
      </c>
    </row>
    <row r="129" spans="3:16">
      <c r="C129" s="789">
        <f>IF(D94="","-",+C128+1)</f>
        <v>2043</v>
      </c>
      <c r="D129" s="737">
        <f t="shared" si="4"/>
        <v>690423.00873983547</v>
      </c>
      <c r="E129" s="790">
        <f t="shared" si="6"/>
        <v>53452.103902439019</v>
      </c>
      <c r="F129" s="790">
        <f t="shared" si="0"/>
        <v>636970.90483739646</v>
      </c>
      <c r="G129" s="737">
        <f t="shared" si="5"/>
        <v>663696.95678861602</v>
      </c>
      <c r="H129" s="795">
        <f>+J95*G129+E129</f>
        <v>127317.34620768814</v>
      </c>
      <c r="I129" s="796">
        <f>+J96*G129+E129</f>
        <v>127317.34620768814</v>
      </c>
      <c r="J129" s="793">
        <f t="shared" si="7"/>
        <v>0</v>
      </c>
      <c r="K129" s="793"/>
      <c r="L129" s="813"/>
      <c r="M129" s="793">
        <f t="shared" si="1"/>
        <v>0</v>
      </c>
      <c r="N129" s="813"/>
      <c r="O129" s="793">
        <f t="shared" si="2"/>
        <v>0</v>
      </c>
      <c r="P129" s="793">
        <f t="shared" si="3"/>
        <v>0</v>
      </c>
    </row>
    <row r="130" spans="3:16">
      <c r="C130" s="789">
        <f>IF(D94="","-",+C129+1)</f>
        <v>2044</v>
      </c>
      <c r="D130" s="737">
        <f t="shared" si="4"/>
        <v>636970.90483739646</v>
      </c>
      <c r="E130" s="790">
        <f t="shared" si="6"/>
        <v>53452.103902439019</v>
      </c>
      <c r="F130" s="790">
        <f t="shared" si="0"/>
        <v>583518.80093495746</v>
      </c>
      <c r="G130" s="737">
        <f t="shared" si="5"/>
        <v>610244.8528861769</v>
      </c>
      <c r="H130" s="795">
        <f>+J95*G130+E130</f>
        <v>121368.46763276872</v>
      </c>
      <c r="I130" s="796">
        <f>+J96*G130+E130</f>
        <v>121368.46763276872</v>
      </c>
      <c r="J130" s="793">
        <f t="shared" si="7"/>
        <v>0</v>
      </c>
      <c r="K130" s="793"/>
      <c r="L130" s="813"/>
      <c r="M130" s="793">
        <f t="shared" si="1"/>
        <v>0</v>
      </c>
      <c r="N130" s="813"/>
      <c r="O130" s="793">
        <f t="shared" si="2"/>
        <v>0</v>
      </c>
      <c r="P130" s="793">
        <f t="shared" si="3"/>
        <v>0</v>
      </c>
    </row>
    <row r="131" spans="3:16">
      <c r="C131" s="789">
        <f>IF(D94="","-",+C130+1)</f>
        <v>2045</v>
      </c>
      <c r="D131" s="737">
        <f t="shared" si="4"/>
        <v>583518.80093495746</v>
      </c>
      <c r="E131" s="790">
        <f t="shared" si="6"/>
        <v>53452.103902439019</v>
      </c>
      <c r="F131" s="790">
        <f t="shared" si="0"/>
        <v>530066.69703251845</v>
      </c>
      <c r="G131" s="737">
        <f t="shared" si="5"/>
        <v>556792.74898373801</v>
      </c>
      <c r="H131" s="795">
        <f>+J95*G131+E131</f>
        <v>115419.58905784933</v>
      </c>
      <c r="I131" s="796">
        <f>+J96*G131+E131</f>
        <v>115419.58905784933</v>
      </c>
      <c r="J131" s="793">
        <f t="shared" si="7"/>
        <v>0</v>
      </c>
      <c r="K131" s="793"/>
      <c r="L131" s="813"/>
      <c r="M131" s="793">
        <f t="shared" si="1"/>
        <v>0</v>
      </c>
      <c r="N131" s="813"/>
      <c r="O131" s="793">
        <f t="shared" si="2"/>
        <v>0</v>
      </c>
      <c r="P131" s="793">
        <f t="shared" si="3"/>
        <v>0</v>
      </c>
    </row>
    <row r="132" spans="3:16">
      <c r="C132" s="789">
        <f>IF(D94="","-",+C131+1)</f>
        <v>2046</v>
      </c>
      <c r="D132" s="737">
        <f t="shared" si="4"/>
        <v>530066.69703251845</v>
      </c>
      <c r="E132" s="790">
        <f t="shared" si="6"/>
        <v>53452.103902439019</v>
      </c>
      <c r="F132" s="790">
        <f t="shared" si="0"/>
        <v>476614.59313007945</v>
      </c>
      <c r="G132" s="737">
        <f t="shared" si="5"/>
        <v>503340.64508129895</v>
      </c>
      <c r="H132" s="795">
        <f>+J95*G132+E132</f>
        <v>109470.71048292992</v>
      </c>
      <c r="I132" s="796">
        <f>+J96*G132+E132</f>
        <v>109470.71048292992</v>
      </c>
      <c r="J132" s="793">
        <f t="shared" si="7"/>
        <v>0</v>
      </c>
      <c r="K132" s="793"/>
      <c r="L132" s="813"/>
      <c r="M132" s="793">
        <f t="shared" si="1"/>
        <v>0</v>
      </c>
      <c r="N132" s="813"/>
      <c r="O132" s="793">
        <f t="shared" si="2"/>
        <v>0</v>
      </c>
      <c r="P132" s="793">
        <f t="shared" si="3"/>
        <v>0</v>
      </c>
    </row>
    <row r="133" spans="3:16">
      <c r="C133" s="789">
        <f>IF(D94="","-",+C132+1)</f>
        <v>2047</v>
      </c>
      <c r="D133" s="737">
        <f t="shared" si="4"/>
        <v>476614.59313007945</v>
      </c>
      <c r="E133" s="790">
        <f t="shared" si="6"/>
        <v>53452.103902439019</v>
      </c>
      <c r="F133" s="790">
        <f t="shared" si="0"/>
        <v>423162.48922764044</v>
      </c>
      <c r="G133" s="737">
        <f t="shared" si="5"/>
        <v>449888.54117885994</v>
      </c>
      <c r="H133" s="795">
        <f>+J95*G133+E133</f>
        <v>103521.8319080105</v>
      </c>
      <c r="I133" s="796">
        <f>+J96*G133+E133</f>
        <v>103521.8319080105</v>
      </c>
      <c r="J133" s="793">
        <f t="shared" si="7"/>
        <v>0</v>
      </c>
      <c r="K133" s="793"/>
      <c r="L133" s="813"/>
      <c r="M133" s="793">
        <f t="shared" si="1"/>
        <v>0</v>
      </c>
      <c r="N133" s="813"/>
      <c r="O133" s="793">
        <f t="shared" si="2"/>
        <v>0</v>
      </c>
      <c r="P133" s="793">
        <f t="shared" si="3"/>
        <v>0</v>
      </c>
    </row>
    <row r="134" spans="3:16">
      <c r="C134" s="789">
        <f>IF(D94="","-",+C133+1)</f>
        <v>2048</v>
      </c>
      <c r="D134" s="737">
        <f t="shared" si="4"/>
        <v>423162.48922764044</v>
      </c>
      <c r="E134" s="790">
        <f t="shared" si="6"/>
        <v>53452.103902439019</v>
      </c>
      <c r="F134" s="790">
        <f t="shared" si="0"/>
        <v>369710.38532520144</v>
      </c>
      <c r="G134" s="737">
        <f t="shared" si="5"/>
        <v>396436.43727642094</v>
      </c>
      <c r="H134" s="795">
        <f>+J95*G134+E134</f>
        <v>97572.953333091107</v>
      </c>
      <c r="I134" s="796">
        <f>+J96*G134+E134</f>
        <v>97572.953333091107</v>
      </c>
      <c r="J134" s="793">
        <f t="shared" si="7"/>
        <v>0</v>
      </c>
      <c r="K134" s="793"/>
      <c r="L134" s="813"/>
      <c r="M134" s="793">
        <f t="shared" si="1"/>
        <v>0</v>
      </c>
      <c r="N134" s="813"/>
      <c r="O134" s="793">
        <f t="shared" si="2"/>
        <v>0</v>
      </c>
      <c r="P134" s="793">
        <f t="shared" si="3"/>
        <v>0</v>
      </c>
    </row>
    <row r="135" spans="3:16">
      <c r="C135" s="789">
        <f>IF(D94="","-",+C134+1)</f>
        <v>2049</v>
      </c>
      <c r="D135" s="737">
        <f t="shared" si="4"/>
        <v>369710.38532520144</v>
      </c>
      <c r="E135" s="790">
        <f t="shared" si="6"/>
        <v>53452.103902439019</v>
      </c>
      <c r="F135" s="790">
        <f t="shared" si="0"/>
        <v>316258.28142276243</v>
      </c>
      <c r="G135" s="737">
        <f t="shared" si="5"/>
        <v>342984.33337398194</v>
      </c>
      <c r="H135" s="795">
        <f>+J95*G135+E135</f>
        <v>91624.074758171686</v>
      </c>
      <c r="I135" s="796">
        <f>+J96*G135+E135</f>
        <v>91624.074758171686</v>
      </c>
      <c r="J135" s="793">
        <f t="shared" si="7"/>
        <v>0</v>
      </c>
      <c r="K135" s="793"/>
      <c r="L135" s="813"/>
      <c r="M135" s="793">
        <f t="shared" si="1"/>
        <v>0</v>
      </c>
      <c r="N135" s="813"/>
      <c r="O135" s="793">
        <f t="shared" si="2"/>
        <v>0</v>
      </c>
      <c r="P135" s="793">
        <f t="shared" si="3"/>
        <v>0</v>
      </c>
    </row>
    <row r="136" spans="3:16">
      <c r="C136" s="789">
        <f>IF(D94="","-",+C135+1)</f>
        <v>2050</v>
      </c>
      <c r="D136" s="737">
        <f t="shared" si="4"/>
        <v>316258.28142276243</v>
      </c>
      <c r="E136" s="790">
        <f t="shared" si="6"/>
        <v>53452.103902439019</v>
      </c>
      <c r="F136" s="790">
        <f t="shared" si="0"/>
        <v>262806.17752032343</v>
      </c>
      <c r="G136" s="737">
        <f t="shared" si="5"/>
        <v>289532.22947154293</v>
      </c>
      <c r="H136" s="795">
        <f>+J95*G136+E136</f>
        <v>85675.196183252294</v>
      </c>
      <c r="I136" s="796">
        <f>+J96*G136+E136</f>
        <v>85675.196183252294</v>
      </c>
      <c r="J136" s="793">
        <f t="shared" si="7"/>
        <v>0</v>
      </c>
      <c r="K136" s="793"/>
      <c r="L136" s="813"/>
      <c r="M136" s="793">
        <f t="shared" si="1"/>
        <v>0</v>
      </c>
      <c r="N136" s="813"/>
      <c r="O136" s="793">
        <f t="shared" si="2"/>
        <v>0</v>
      </c>
      <c r="P136" s="793">
        <f t="shared" si="3"/>
        <v>0</v>
      </c>
    </row>
    <row r="137" spans="3:16">
      <c r="C137" s="789">
        <f>IF(D94="","-",+C136+1)</f>
        <v>2051</v>
      </c>
      <c r="D137" s="737">
        <f t="shared" si="4"/>
        <v>262806.17752032343</v>
      </c>
      <c r="E137" s="790">
        <f t="shared" si="6"/>
        <v>53452.103902439019</v>
      </c>
      <c r="F137" s="790">
        <f t="shared" si="0"/>
        <v>209354.07361788442</v>
      </c>
      <c r="G137" s="737">
        <f t="shared" si="5"/>
        <v>236080.12556910393</v>
      </c>
      <c r="H137" s="795">
        <f>+J95*G137+E137</f>
        <v>79726.317608332873</v>
      </c>
      <c r="I137" s="796">
        <f>+J96*G137+E137</f>
        <v>79726.317608332873</v>
      </c>
      <c r="J137" s="793">
        <f t="shared" si="7"/>
        <v>0</v>
      </c>
      <c r="K137" s="793"/>
      <c r="L137" s="813"/>
      <c r="M137" s="793">
        <f t="shared" si="1"/>
        <v>0</v>
      </c>
      <c r="N137" s="813"/>
      <c r="O137" s="793">
        <f t="shared" si="2"/>
        <v>0</v>
      </c>
      <c r="P137" s="793">
        <f t="shared" si="3"/>
        <v>0</v>
      </c>
    </row>
    <row r="138" spans="3:16">
      <c r="C138" s="789">
        <f>IF(D94="","-",+C137+1)</f>
        <v>2052</v>
      </c>
      <c r="D138" s="737">
        <f t="shared" si="4"/>
        <v>209354.07361788442</v>
      </c>
      <c r="E138" s="790">
        <f t="shared" si="6"/>
        <v>53452.103902439019</v>
      </c>
      <c r="F138" s="790">
        <f t="shared" si="0"/>
        <v>155901.96971544542</v>
      </c>
      <c r="G138" s="737">
        <f t="shared" si="5"/>
        <v>182628.02166666492</v>
      </c>
      <c r="H138" s="795">
        <f>+J95*G138+E138</f>
        <v>73777.439033413481</v>
      </c>
      <c r="I138" s="796">
        <f>+J96*G138+E138</f>
        <v>73777.439033413481</v>
      </c>
      <c r="J138" s="793">
        <f t="shared" si="7"/>
        <v>0</v>
      </c>
      <c r="K138" s="793"/>
      <c r="L138" s="813"/>
      <c r="M138" s="793">
        <f t="shared" si="1"/>
        <v>0</v>
      </c>
      <c r="N138" s="813"/>
      <c r="O138" s="793">
        <f t="shared" si="2"/>
        <v>0</v>
      </c>
      <c r="P138" s="793">
        <f t="shared" si="3"/>
        <v>0</v>
      </c>
    </row>
    <row r="139" spans="3:16">
      <c r="C139" s="789">
        <f>IF(D94="","-",+C138+1)</f>
        <v>2053</v>
      </c>
      <c r="D139" s="737">
        <f t="shared" si="4"/>
        <v>155901.96971544542</v>
      </c>
      <c r="E139" s="790">
        <f t="shared" si="6"/>
        <v>53452.103902439019</v>
      </c>
      <c r="F139" s="790">
        <f t="shared" si="0"/>
        <v>102449.8658130064</v>
      </c>
      <c r="G139" s="737">
        <f t="shared" si="5"/>
        <v>129175.91776422592</v>
      </c>
      <c r="H139" s="795">
        <f>+J95*G139+E139</f>
        <v>67828.560458494059</v>
      </c>
      <c r="I139" s="796">
        <f>+J96*G139+E139</f>
        <v>67828.560458494059</v>
      </c>
      <c r="J139" s="793">
        <f t="shared" si="7"/>
        <v>0</v>
      </c>
      <c r="K139" s="793"/>
      <c r="L139" s="813"/>
      <c r="M139" s="793">
        <f t="shared" si="1"/>
        <v>0</v>
      </c>
      <c r="N139" s="813"/>
      <c r="O139" s="793">
        <f t="shared" si="2"/>
        <v>0</v>
      </c>
      <c r="P139" s="793">
        <f t="shared" si="3"/>
        <v>0</v>
      </c>
    </row>
    <row r="140" spans="3:16">
      <c r="C140" s="789">
        <f>IF(D94="","-",+C139+1)</f>
        <v>2054</v>
      </c>
      <c r="D140" s="737">
        <f t="shared" si="4"/>
        <v>102449.8658130064</v>
      </c>
      <c r="E140" s="790">
        <f t="shared" si="6"/>
        <v>53452.103902439019</v>
      </c>
      <c r="F140" s="790">
        <f t="shared" si="0"/>
        <v>48997.76191056738</v>
      </c>
      <c r="G140" s="737">
        <f t="shared" si="5"/>
        <v>75723.813861786883</v>
      </c>
      <c r="H140" s="795">
        <f>+J95*G140+E140</f>
        <v>61879.681883574653</v>
      </c>
      <c r="I140" s="796">
        <f>+J96*G140+E140</f>
        <v>61879.681883574653</v>
      </c>
      <c r="J140" s="793">
        <f t="shared" si="7"/>
        <v>0</v>
      </c>
      <c r="K140" s="793"/>
      <c r="L140" s="813"/>
      <c r="M140" s="793">
        <f t="shared" si="1"/>
        <v>0</v>
      </c>
      <c r="N140" s="813"/>
      <c r="O140" s="793">
        <f t="shared" si="2"/>
        <v>0</v>
      </c>
      <c r="P140" s="793">
        <f t="shared" si="3"/>
        <v>0</v>
      </c>
    </row>
    <row r="141" spans="3:16">
      <c r="C141" s="789">
        <f>IF(D94="","-",+C140+1)</f>
        <v>2055</v>
      </c>
      <c r="D141" s="737">
        <f t="shared" si="4"/>
        <v>48997.76191056738</v>
      </c>
      <c r="E141" s="790">
        <f t="shared" si="6"/>
        <v>48997.76191056738</v>
      </c>
      <c r="F141" s="790">
        <f t="shared" si="0"/>
        <v>0</v>
      </c>
      <c r="G141" s="737">
        <f t="shared" si="5"/>
        <v>24498.88095528369</v>
      </c>
      <c r="H141" s="795">
        <f>+J95*G141+E141</f>
        <v>51724.331257405349</v>
      </c>
      <c r="I141" s="796">
        <f>+J96*G141+E141</f>
        <v>51724.331257405349</v>
      </c>
      <c r="J141" s="793">
        <f t="shared" si="7"/>
        <v>0</v>
      </c>
      <c r="K141" s="793"/>
      <c r="L141" s="813"/>
      <c r="M141" s="793">
        <f t="shared" si="1"/>
        <v>0</v>
      </c>
      <c r="N141" s="813"/>
      <c r="O141" s="793">
        <f t="shared" si="2"/>
        <v>0</v>
      </c>
      <c r="P141" s="793">
        <f t="shared" si="3"/>
        <v>0</v>
      </c>
    </row>
    <row r="142" spans="3:16">
      <c r="C142" s="789">
        <f>IF(D94="","-",+C141+1)</f>
        <v>2056</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f>IF(D94="","-",+C142+1)</f>
        <v>2057</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f>IF(D94="","-",+C143+1)</f>
        <v>2058</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f>IF(D94="","-",+C144+1)</f>
        <v>2059</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f>IF(D94="","-",+C145+1)</f>
        <v>2060</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f>IF(D94="","-",+C146+1)</f>
        <v>2061</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f>IF(D94="","-",+C147+1)</f>
        <v>2062</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f>IF(D94="","-",+C148+1)</f>
        <v>2063</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f>IF(D94="","-",+C149+1)</f>
        <v>2064</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f>IF(D94="","-",+C150+1)</f>
        <v>2065</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f>IF(D94="","-",+C151+1)</f>
        <v>2066</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f>IF(D94="","-",+C152+1)</f>
        <v>2067</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f>IF(D94="","-",+C153+1)</f>
        <v>2068</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f>IF(D94="","-",+C154+1)</f>
        <v>2069</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f>IF(D94="","-",+C155+1)</f>
        <v>2070</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f>IF(D94="","-",+C156+1)</f>
        <v>2071</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f>IF(D94="","-",+C157+1)</f>
        <v>2072</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f>IF(D94="","-",+C158+1)</f>
        <v>2073</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83</v>
      </c>
      <c r="D160" s="731"/>
      <c r="E160" s="731">
        <f>SUM(E100:E159)</f>
        <v>2191536.2599999998</v>
      </c>
      <c r="F160" s="731"/>
      <c r="G160" s="731"/>
      <c r="H160" s="731">
        <f>SUM(H100:H159)</f>
        <v>7415147.3886604775</v>
      </c>
      <c r="I160" s="731">
        <f>SUM(I100:I159)</f>
        <v>7415147.3886604775</v>
      </c>
      <c r="J160" s="731">
        <f>SUM(J100:J159)</f>
        <v>0</v>
      </c>
      <c r="K160" s="731"/>
      <c r="L160" s="731"/>
      <c r="M160" s="731"/>
      <c r="N160" s="731"/>
      <c r="O160" s="731"/>
    </row>
    <row r="161" spans="1:17">
      <c r="D161" s="539"/>
      <c r="E161" s="314"/>
      <c r="F161" s="314"/>
      <c r="G161" s="314"/>
      <c r="H161" s="314"/>
      <c r="I161" s="709"/>
      <c r="J161" s="709"/>
      <c r="K161" s="731"/>
      <c r="L161" s="709"/>
      <c r="M161" s="709"/>
      <c r="N161" s="709"/>
      <c r="O161" s="709"/>
    </row>
    <row r="162" spans="1:17">
      <c r="C162" s="314" t="s">
        <v>13</v>
      </c>
      <c r="D162" s="539"/>
      <c r="E162" s="314"/>
      <c r="F162" s="314"/>
      <c r="G162" s="314"/>
      <c r="H162" s="314"/>
      <c r="I162" s="709"/>
      <c r="J162" s="709"/>
      <c r="K162" s="731"/>
      <c r="L162" s="709"/>
      <c r="M162" s="709"/>
      <c r="N162" s="709"/>
      <c r="O162" s="709"/>
    </row>
    <row r="163" spans="1:17">
      <c r="C163" s="314"/>
      <c r="D163" s="539"/>
      <c r="E163" s="314"/>
      <c r="F163" s="314"/>
      <c r="G163" s="314"/>
      <c r="H163" s="314"/>
      <c r="I163" s="709"/>
      <c r="J163" s="709"/>
      <c r="K163" s="731"/>
      <c r="L163" s="709"/>
      <c r="M163" s="709"/>
      <c r="N163" s="709"/>
      <c r="O163" s="709"/>
    </row>
    <row r="164" spans="1:17">
      <c r="C164" s="750" t="s">
        <v>14</v>
      </c>
      <c r="D164" s="737"/>
      <c r="E164" s="737"/>
      <c r="F164" s="737"/>
      <c r="G164" s="737"/>
      <c r="H164" s="731"/>
      <c r="I164" s="731"/>
      <c r="J164" s="805"/>
      <c r="K164" s="805"/>
      <c r="L164" s="805"/>
      <c r="M164" s="805"/>
      <c r="N164" s="805"/>
      <c r="O164" s="805"/>
    </row>
    <row r="165" spans="1:17">
      <c r="C165" s="736" t="s">
        <v>263</v>
      </c>
      <c r="D165" s="737"/>
      <c r="E165" s="737"/>
      <c r="F165" s="737"/>
      <c r="G165" s="737"/>
      <c r="H165" s="731"/>
      <c r="I165" s="731"/>
      <c r="J165" s="805"/>
      <c r="K165" s="805"/>
      <c r="L165" s="805"/>
      <c r="M165" s="805"/>
      <c r="N165" s="805"/>
      <c r="O165" s="805"/>
    </row>
    <row r="166" spans="1:17">
      <c r="C166" s="736" t="s">
        <v>84</v>
      </c>
      <c r="D166" s="737"/>
      <c r="E166" s="737"/>
      <c r="F166" s="737"/>
      <c r="G166" s="737"/>
      <c r="H166" s="731"/>
      <c r="I166" s="731"/>
      <c r="J166" s="805"/>
      <c r="K166" s="805"/>
      <c r="L166" s="805"/>
      <c r="M166" s="805"/>
      <c r="N166" s="805"/>
      <c r="O166" s="805"/>
    </row>
    <row r="167" spans="1:17" ht="20.25">
      <c r="A167" s="738" t="str">
        <f>""&amp;A92&amp;" Worksheet K -  ATRR TRUE-UP Calculation for PJM Projects Charged to Benefiting Zones"</f>
        <v xml:space="preserve"> Worksheet K -  ATRR TRUE-UP Calculation for PJM Projects Charged to Benefiting Zones</v>
      </c>
      <c r="B167" s="348"/>
      <c r="C167" s="726"/>
      <c r="D167" s="539"/>
      <c r="E167" s="314"/>
      <c r="F167" s="708"/>
      <c r="G167" s="708"/>
      <c r="H167" s="314"/>
      <c r="I167" s="709"/>
      <c r="L167" s="565"/>
      <c r="M167" s="565"/>
      <c r="N167" s="565"/>
      <c r="O167" s="654" t="str">
        <f>"Page "&amp;SUM(Q$8:Q167)&amp;" of "</f>
        <v xml:space="preserve">Page 3 of </v>
      </c>
      <c r="P167" s="655">
        <f>COUNT(Q$8:Q$57702)</f>
        <v>12</v>
      </c>
      <c r="Q167" s="739">
        <v>1</v>
      </c>
    </row>
    <row r="168" spans="1:17">
      <c r="B168" s="348"/>
      <c r="C168" s="314"/>
      <c r="D168" s="539"/>
      <c r="E168" s="314"/>
      <c r="F168" s="314"/>
      <c r="G168" s="314"/>
      <c r="H168" s="314"/>
      <c r="I168" s="709"/>
      <c r="J168" s="314"/>
      <c r="K168" s="427"/>
    </row>
    <row r="169" spans="1:17" ht="18">
      <c r="B169" s="658" t="s">
        <v>466</v>
      </c>
      <c r="C169" s="740" t="s">
        <v>85</v>
      </c>
      <c r="D169" s="539"/>
      <c r="E169" s="314"/>
      <c r="F169" s="314"/>
      <c r="G169" s="314"/>
      <c r="H169" s="314"/>
      <c r="I169" s="709"/>
      <c r="J169" s="709"/>
      <c r="K169" s="731"/>
      <c r="L169" s="709"/>
      <c r="M169" s="709"/>
      <c r="N169" s="709"/>
      <c r="O169" s="709"/>
    </row>
    <row r="170" spans="1:17" ht="18.75">
      <c r="B170" s="658"/>
      <c r="C170" s="657"/>
      <c r="D170" s="539"/>
      <c r="E170" s="314"/>
      <c r="F170" s="314"/>
      <c r="G170" s="314"/>
      <c r="H170" s="314"/>
      <c r="I170" s="709"/>
      <c r="J170" s="709"/>
      <c r="K170" s="731"/>
      <c r="L170" s="709"/>
      <c r="M170" s="709"/>
      <c r="N170" s="709"/>
      <c r="O170" s="709"/>
    </row>
    <row r="171" spans="1:17" ht="18.75">
      <c r="B171" s="658"/>
      <c r="C171" s="657" t="s">
        <v>86</v>
      </c>
      <c r="D171" s="539"/>
      <c r="E171" s="314"/>
      <c r="F171" s="314"/>
      <c r="G171" s="314"/>
      <c r="H171" s="314"/>
      <c r="I171" s="709"/>
      <c r="J171" s="709"/>
      <c r="K171" s="731"/>
      <c r="L171" s="709"/>
      <c r="M171" s="709"/>
      <c r="N171" s="709"/>
      <c r="O171" s="709"/>
    </row>
    <row r="172" spans="1:17" ht="15.75" thickBot="1">
      <c r="C172" s="240"/>
      <c r="D172" s="539"/>
      <c r="E172" s="314"/>
      <c r="F172" s="314"/>
      <c r="G172" s="314"/>
      <c r="H172" s="314"/>
      <c r="I172" s="709"/>
      <c r="J172" s="709"/>
      <c r="K172" s="731"/>
      <c r="L172" s="709"/>
      <c r="M172" s="709"/>
      <c r="N172" s="709"/>
      <c r="O172" s="709"/>
    </row>
    <row r="173" spans="1:17" ht="15.75">
      <c r="C173" s="660" t="s">
        <v>87</v>
      </c>
      <c r="D173" s="539"/>
      <c r="E173" s="314"/>
      <c r="F173" s="314"/>
      <c r="G173" s="314"/>
      <c r="H173" s="807"/>
      <c r="I173" s="314" t="s">
        <v>66</v>
      </c>
      <c r="J173" s="314"/>
      <c r="K173" s="427"/>
      <c r="L173" s="836">
        <f>+J179</f>
        <v>2022</v>
      </c>
      <c r="M173" s="817" t="s">
        <v>45</v>
      </c>
      <c r="N173" s="817" t="s">
        <v>46</v>
      </c>
      <c r="O173" s="818" t="s">
        <v>47</v>
      </c>
    </row>
    <row r="174" spans="1:17" ht="15.75">
      <c r="C174" s="660"/>
      <c r="D174" s="539"/>
      <c r="E174" s="314"/>
      <c r="F174" s="314"/>
      <c r="H174" s="314"/>
      <c r="I174" s="745"/>
      <c r="J174" s="745"/>
      <c r="K174" s="746"/>
      <c r="L174" s="837" t="s">
        <v>235</v>
      </c>
      <c r="M174" s="838">
        <f>VLOOKUP(J179,C186:P245,10)</f>
        <v>9569446.9786294643</v>
      </c>
      <c r="N174" s="838">
        <f>VLOOKUP(J179,C186:P245,12)</f>
        <v>9569446.9786294643</v>
      </c>
      <c r="O174" s="839">
        <f>+N174-M174</f>
        <v>0</v>
      </c>
    </row>
    <row r="175" spans="1:17">
      <c r="C175" s="750" t="s">
        <v>88</v>
      </c>
      <c r="D175" s="1567" t="s">
        <v>812</v>
      </c>
      <c r="E175" s="1567"/>
      <c r="F175" s="1567"/>
      <c r="G175" s="1567"/>
      <c r="H175" s="1567"/>
      <c r="I175" s="1567"/>
      <c r="J175" s="709"/>
      <c r="K175" s="731"/>
      <c r="L175" s="837" t="s">
        <v>236</v>
      </c>
      <c r="M175" s="840">
        <f>VLOOKUP(J179,C186:P245,6)</f>
        <v>9737423.2884434443</v>
      </c>
      <c r="N175" s="840">
        <f>VLOOKUP(J179,C186:P245,7)</f>
        <v>9737423.2884434443</v>
      </c>
      <c r="O175" s="841">
        <f>+N175-M175</f>
        <v>0</v>
      </c>
    </row>
    <row r="176" spans="1:17" ht="13.5" thickBot="1">
      <c r="C176" s="754"/>
      <c r="D176" s="755"/>
      <c r="E176" s="735"/>
      <c r="F176" s="735"/>
      <c r="G176" s="735"/>
      <c r="H176" s="756"/>
      <c r="I176" s="709"/>
      <c r="J176" s="709"/>
      <c r="K176" s="731"/>
      <c r="L176" s="773" t="s">
        <v>237</v>
      </c>
      <c r="M176" s="842">
        <f>+M175-M174</f>
        <v>167976.30981398001</v>
      </c>
      <c r="N176" s="842">
        <f>+N175-N174</f>
        <v>167976.30981398001</v>
      </c>
      <c r="O176" s="843">
        <f>+O175-O174</f>
        <v>0</v>
      </c>
    </row>
    <row r="177" spans="2:16" ht="13.5" thickBot="1">
      <c r="C177" s="757"/>
      <c r="D177" s="758"/>
      <c r="E177" s="756"/>
      <c r="F177" s="756"/>
      <c r="G177" s="756"/>
      <c r="H177" s="756"/>
      <c r="I177" s="756"/>
      <c r="J177" s="756"/>
      <c r="K177" s="759"/>
      <c r="L177" s="756"/>
      <c r="M177" s="756"/>
      <c r="N177" s="756"/>
      <c r="O177" s="756"/>
      <c r="P177" s="348"/>
    </row>
    <row r="178" spans="2:16" ht="13.5" thickBot="1">
      <c r="C178" s="760" t="s">
        <v>89</v>
      </c>
      <c r="D178" s="761"/>
      <c r="E178" s="761"/>
      <c r="F178" s="761"/>
      <c r="G178" s="761"/>
      <c r="H178" s="761"/>
      <c r="I178" s="761"/>
      <c r="J178" s="761"/>
      <c r="K178" s="763"/>
      <c r="P178" s="764"/>
    </row>
    <row r="179" spans="2:16" ht="15">
      <c r="C179" s="765" t="s">
        <v>67</v>
      </c>
      <c r="D179" s="809">
        <v>85102119.760000005</v>
      </c>
      <c r="E179" s="726" t="s">
        <v>68</v>
      </c>
      <c r="H179" s="766"/>
      <c r="I179" s="766"/>
      <c r="J179" s="767">
        <f>$J$93</f>
        <v>2022</v>
      </c>
      <c r="K179" s="555"/>
      <c r="L179" s="1569" t="s">
        <v>69</v>
      </c>
      <c r="M179" s="1569"/>
      <c r="N179" s="1569"/>
      <c r="O179" s="1569"/>
      <c r="P179" s="427"/>
    </row>
    <row r="180" spans="2:16">
      <c r="C180" s="765" t="s">
        <v>70</v>
      </c>
      <c r="D180" s="810">
        <v>2014</v>
      </c>
      <c r="E180" s="765" t="s">
        <v>71</v>
      </c>
      <c r="F180" s="766"/>
      <c r="G180" s="766"/>
      <c r="I180" s="173"/>
      <c r="J180" s="811">
        <f>IF(H173="",0,$F$17)</f>
        <v>0</v>
      </c>
      <c r="K180" s="768"/>
      <c r="L180" s="731" t="s">
        <v>277</v>
      </c>
      <c r="P180" s="427"/>
    </row>
    <row r="181" spans="2:16">
      <c r="C181" s="765" t="s">
        <v>72</v>
      </c>
      <c r="D181" s="809">
        <v>8</v>
      </c>
      <c r="E181" s="765" t="s">
        <v>73</v>
      </c>
      <c r="F181" s="766"/>
      <c r="G181" s="766"/>
      <c r="I181" s="173"/>
      <c r="J181" s="769">
        <f>$F$70</f>
        <v>0.11129362813814259</v>
      </c>
      <c r="K181" s="770"/>
      <c r="L181" s="314" t="str">
        <f>"          INPUT TRUE-UP ARR (WITH &amp; WITHOUT INCENTIVES) FROM EACH PRIOR YEAR"</f>
        <v xml:space="preserve">          INPUT TRUE-UP ARR (WITH &amp; WITHOUT INCENTIVES) FROM EACH PRIOR YEAR</v>
      </c>
      <c r="P181" s="427"/>
    </row>
    <row r="182" spans="2:16">
      <c r="C182" s="765" t="s">
        <v>74</v>
      </c>
      <c r="D182" s="771">
        <f>H$79</f>
        <v>41</v>
      </c>
      <c r="E182" s="765" t="s">
        <v>75</v>
      </c>
      <c r="F182" s="766"/>
      <c r="G182" s="766"/>
      <c r="I182" s="173"/>
      <c r="J182" s="769">
        <f>IF(H173="",+J181,$F$69)</f>
        <v>0.11129362813814259</v>
      </c>
      <c r="K182" s="772"/>
      <c r="L182" s="314" t="s">
        <v>157</v>
      </c>
      <c r="M182" s="772"/>
      <c r="N182" s="772"/>
      <c r="O182" s="772"/>
      <c r="P182" s="427"/>
    </row>
    <row r="183" spans="2:16" ht="13.5" thickBot="1">
      <c r="C183" s="765" t="s">
        <v>76</v>
      </c>
      <c r="D183" s="808" t="s">
        <v>811</v>
      </c>
      <c r="E183" s="773" t="s">
        <v>77</v>
      </c>
      <c r="F183" s="774"/>
      <c r="G183" s="774"/>
      <c r="H183" s="775"/>
      <c r="I183" s="775"/>
      <c r="J183" s="753">
        <f>IF(D179=0,0,D179/D182)</f>
        <v>2075661.4575609758</v>
      </c>
      <c r="K183" s="731"/>
      <c r="L183" s="731" t="s">
        <v>158</v>
      </c>
      <c r="M183" s="731"/>
      <c r="N183" s="731"/>
      <c r="O183" s="731"/>
      <c r="P183" s="427"/>
    </row>
    <row r="184" spans="2:16" ht="38.25">
      <c r="B184" s="846"/>
      <c r="C184" s="776" t="s">
        <v>67</v>
      </c>
      <c r="D184" s="777" t="s">
        <v>78</v>
      </c>
      <c r="E184" s="778" t="s">
        <v>79</v>
      </c>
      <c r="F184" s="777" t="s">
        <v>80</v>
      </c>
      <c r="G184" s="777" t="s">
        <v>238</v>
      </c>
      <c r="H184" s="778" t="s">
        <v>151</v>
      </c>
      <c r="I184" s="779" t="s">
        <v>151</v>
      </c>
      <c r="J184" s="776" t="s">
        <v>90</v>
      </c>
      <c r="K184" s="780"/>
      <c r="L184" s="778" t="s">
        <v>153</v>
      </c>
      <c r="M184" s="778" t="s">
        <v>159</v>
      </c>
      <c r="N184" s="778" t="s">
        <v>153</v>
      </c>
      <c r="O184" s="778" t="s">
        <v>161</v>
      </c>
      <c r="P184" s="778" t="s">
        <v>81</v>
      </c>
    </row>
    <row r="185" spans="2:16" ht="13.5" thickBot="1">
      <c r="C185" s="782" t="s">
        <v>469</v>
      </c>
      <c r="D185" s="783" t="s">
        <v>470</v>
      </c>
      <c r="E185" s="782" t="s">
        <v>363</v>
      </c>
      <c r="F185" s="783" t="s">
        <v>470</v>
      </c>
      <c r="G185" s="783" t="s">
        <v>470</v>
      </c>
      <c r="H185" s="784" t="s">
        <v>93</v>
      </c>
      <c r="I185" s="785" t="s">
        <v>95</v>
      </c>
      <c r="J185" s="786" t="s">
        <v>15</v>
      </c>
      <c r="K185" s="787"/>
      <c r="L185" s="784" t="s">
        <v>82</v>
      </c>
      <c r="M185" s="784" t="s">
        <v>82</v>
      </c>
      <c r="N185" s="784" t="s">
        <v>255</v>
      </c>
      <c r="O185" s="784" t="s">
        <v>255</v>
      </c>
      <c r="P185" s="784" t="s">
        <v>255</v>
      </c>
    </row>
    <row r="186" spans="2:16">
      <c r="C186" s="789">
        <f>IF(D180= "","-",D180)</f>
        <v>2014</v>
      </c>
      <c r="D186" s="737">
        <f>+D179</f>
        <v>85102119.760000005</v>
      </c>
      <c r="E186" s="795">
        <f>+J183/12*(12-D181)</f>
        <v>691887.15252032527</v>
      </c>
      <c r="F186" s="844">
        <f t="shared" ref="F186:F245" si="8">+D186-E186</f>
        <v>84410232.607479677</v>
      </c>
      <c r="G186" s="737">
        <f>+(D186+F186)/2</f>
        <v>84756176.183739841</v>
      </c>
      <c r="H186" s="791">
        <f>+J181*G186+E186</f>
        <v>10124709.507124364</v>
      </c>
      <c r="I186" s="792">
        <f>+J182*G186+E186</f>
        <v>10124709.507124364</v>
      </c>
      <c r="J186" s="793">
        <f>+I186-H186</f>
        <v>0</v>
      </c>
      <c r="K186" s="793"/>
      <c r="L186" s="812">
        <v>2795819</v>
      </c>
      <c r="M186" s="845">
        <f t="shared" ref="M186:M245" si="9">IF(L186&lt;&gt;0,+H186-L186,0)</f>
        <v>7328890.5071243644</v>
      </c>
      <c r="N186" s="812">
        <v>2795819</v>
      </c>
      <c r="O186" s="845">
        <f t="shared" ref="O186:O245" si="10">IF(N186&lt;&gt;0,+I186-N186,0)</f>
        <v>7328890.5071243644</v>
      </c>
      <c r="P186" s="845">
        <f t="shared" ref="P186:P245" si="11">+O186-M186</f>
        <v>0</v>
      </c>
    </row>
    <row r="187" spans="2:16">
      <c r="C187" s="789">
        <f>IF(D180="","-",+C186+1)</f>
        <v>2015</v>
      </c>
      <c r="D187" s="737">
        <f t="shared" ref="D187:D239" si="12">F186</f>
        <v>84410232.607479677</v>
      </c>
      <c r="E187" s="790">
        <f>IF(D187&gt;$J$183,$J$183,D187)</f>
        <v>2075661.4575609758</v>
      </c>
      <c r="F187" s="790">
        <f t="shared" si="8"/>
        <v>82334571.149918705</v>
      </c>
      <c r="G187" s="737">
        <f t="shared" ref="G187:G245" si="13">+(D187+F187)/2</f>
        <v>83372401.878699183</v>
      </c>
      <c r="H187" s="795">
        <f>+J181*G187+E187</f>
        <v>11354478.549232703</v>
      </c>
      <c r="I187" s="796">
        <f>+J182*G187+E187</f>
        <v>11354478.549232703</v>
      </c>
      <c r="J187" s="793">
        <f>+I187-H187</f>
        <v>0</v>
      </c>
      <c r="K187" s="793"/>
      <c r="L187" s="813">
        <v>9963550</v>
      </c>
      <c r="M187" s="793">
        <f t="shared" si="9"/>
        <v>1390928.5492327027</v>
      </c>
      <c r="N187" s="813">
        <v>9963550</v>
      </c>
      <c r="O187" s="793">
        <f t="shared" si="10"/>
        <v>1390928.5492327027</v>
      </c>
      <c r="P187" s="793">
        <f t="shared" si="11"/>
        <v>0</v>
      </c>
    </row>
    <row r="188" spans="2:16">
      <c r="C188" s="789">
        <f>IF(D180="","-",+C187+1)</f>
        <v>2016</v>
      </c>
      <c r="D188" s="737">
        <f t="shared" si="12"/>
        <v>82334571.149918705</v>
      </c>
      <c r="E188" s="790">
        <f t="shared" ref="E188:E245" si="14">IF(D188&gt;$J$183,$J$183,D188)</f>
        <v>2075661.4575609758</v>
      </c>
      <c r="F188" s="790">
        <f t="shared" si="8"/>
        <v>80258909.692357734</v>
      </c>
      <c r="G188" s="737">
        <f t="shared" si="13"/>
        <v>81296740.421138227</v>
      </c>
      <c r="H188" s="795">
        <f>+J181*G188+E188</f>
        <v>11123470.654834239</v>
      </c>
      <c r="I188" s="796">
        <f>+J182*G188+E188</f>
        <v>11123470.654834239</v>
      </c>
      <c r="J188" s="793">
        <f t="shared" ref="J188:J245" si="15">+I188-H188</f>
        <v>0</v>
      </c>
      <c r="K188" s="793"/>
      <c r="L188" s="813">
        <v>9645772</v>
      </c>
      <c r="M188" s="793">
        <f t="shared" si="9"/>
        <v>1477698.6548342388</v>
      </c>
      <c r="N188" s="813">
        <v>9645772</v>
      </c>
      <c r="O188" s="793">
        <f t="shared" si="10"/>
        <v>1477698.6548342388</v>
      </c>
      <c r="P188" s="793">
        <f t="shared" si="11"/>
        <v>0</v>
      </c>
    </row>
    <row r="189" spans="2:16">
      <c r="C189" s="789">
        <f>IF(D180="","-",+C188+1)</f>
        <v>2017</v>
      </c>
      <c r="D189" s="737">
        <f t="shared" si="12"/>
        <v>80258909.692357734</v>
      </c>
      <c r="E189" s="790">
        <f t="shared" si="14"/>
        <v>2075661.4575609758</v>
      </c>
      <c r="F189" s="790">
        <f t="shared" si="8"/>
        <v>78183248.234796762</v>
      </c>
      <c r="G189" s="737">
        <f t="shared" si="13"/>
        <v>79221078.963577241</v>
      </c>
      <c r="H189" s="795">
        <f>+J181*G189+E189</f>
        <v>10892462.760435771</v>
      </c>
      <c r="I189" s="796">
        <f>+J182*G189+E189</f>
        <v>10892462.760435771</v>
      </c>
      <c r="J189" s="793">
        <f t="shared" si="15"/>
        <v>0</v>
      </c>
      <c r="K189" s="793"/>
      <c r="L189" s="813">
        <v>10531029</v>
      </c>
      <c r="M189" s="793">
        <f t="shared" si="9"/>
        <v>361433.7604357712</v>
      </c>
      <c r="N189" s="813">
        <v>10531029</v>
      </c>
      <c r="O189" s="793">
        <f t="shared" si="10"/>
        <v>361433.7604357712</v>
      </c>
      <c r="P189" s="793">
        <f t="shared" si="11"/>
        <v>0</v>
      </c>
    </row>
    <row r="190" spans="2:16">
      <c r="C190" s="789">
        <f>IF(D180="","-",+C189+1)</f>
        <v>2018</v>
      </c>
      <c r="D190" s="1377">
        <f t="shared" si="12"/>
        <v>78183248.234796762</v>
      </c>
      <c r="E190" s="790">
        <f t="shared" si="14"/>
        <v>2075661.4575609758</v>
      </c>
      <c r="F190" s="790">
        <f t="shared" si="8"/>
        <v>76107586.777235791</v>
      </c>
      <c r="G190" s="737">
        <f t="shared" si="13"/>
        <v>77145417.506016284</v>
      </c>
      <c r="H190" s="795">
        <f>+J181*G190+E190</f>
        <v>10661454.866037307</v>
      </c>
      <c r="I190" s="796">
        <f>+J182*G190+E190</f>
        <v>10661454.866037307</v>
      </c>
      <c r="J190" s="793">
        <f t="shared" si="15"/>
        <v>0</v>
      </c>
      <c r="K190" s="793"/>
      <c r="L190" s="813">
        <v>9156379</v>
      </c>
      <c r="M190" s="793">
        <f t="shared" si="9"/>
        <v>1505075.8660373073</v>
      </c>
      <c r="N190" s="813">
        <v>9156379</v>
      </c>
      <c r="O190" s="793">
        <f t="shared" si="10"/>
        <v>1505075.8660373073</v>
      </c>
      <c r="P190" s="793">
        <f t="shared" si="11"/>
        <v>0</v>
      </c>
    </row>
    <row r="191" spans="2:16">
      <c r="C191" s="789">
        <f>IF(D180="","-",+C190+1)</f>
        <v>2019</v>
      </c>
      <c r="D191" s="737">
        <f t="shared" si="12"/>
        <v>76107586.777235791</v>
      </c>
      <c r="E191" s="790">
        <f t="shared" si="14"/>
        <v>2075661.4575609758</v>
      </c>
      <c r="F191" s="790">
        <f t="shared" si="8"/>
        <v>74031925.31967482</v>
      </c>
      <c r="G191" s="737">
        <f t="shared" si="13"/>
        <v>75069756.048455298</v>
      </c>
      <c r="H191" s="795">
        <f>+J181*G191+E191</f>
        <v>10430446.97163884</v>
      </c>
      <c r="I191" s="796">
        <f>+J182*G191+E191</f>
        <v>10430446.97163884</v>
      </c>
      <c r="J191" s="793">
        <f t="shared" si="15"/>
        <v>0</v>
      </c>
      <c r="K191" s="793"/>
      <c r="L191" s="813">
        <v>9756826.8179598507</v>
      </c>
      <c r="M191" s="793">
        <f t="shared" si="9"/>
        <v>673620.15367898904</v>
      </c>
      <c r="N191" s="813">
        <v>9756826.8179598507</v>
      </c>
      <c r="O191" s="793">
        <f t="shared" si="10"/>
        <v>673620.15367898904</v>
      </c>
      <c r="P191" s="793">
        <f t="shared" si="11"/>
        <v>0</v>
      </c>
    </row>
    <row r="192" spans="2:16">
      <c r="C192" s="789">
        <f>IF(D180="","-",+C191+1)</f>
        <v>2020</v>
      </c>
      <c r="D192" s="737">
        <f t="shared" si="12"/>
        <v>74031925.31967482</v>
      </c>
      <c r="E192" s="790">
        <f t="shared" si="14"/>
        <v>2075661.4575609758</v>
      </c>
      <c r="F192" s="790">
        <f t="shared" si="8"/>
        <v>71956263.862113848</v>
      </c>
      <c r="G192" s="737">
        <f t="shared" si="13"/>
        <v>72994094.590894341</v>
      </c>
      <c r="H192" s="795">
        <f>+J181*G192+E192</f>
        <v>10199439.077240376</v>
      </c>
      <c r="I192" s="796">
        <f>+J182*G192+E192</f>
        <v>10199439.077240376</v>
      </c>
      <c r="J192" s="793">
        <f t="shared" si="15"/>
        <v>0</v>
      </c>
      <c r="K192" s="793"/>
      <c r="L192" s="813">
        <v>9597403.1235328056</v>
      </c>
      <c r="M192" s="793">
        <f t="shared" si="9"/>
        <v>602035.95370757021</v>
      </c>
      <c r="N192" s="813">
        <v>9597403.1235328056</v>
      </c>
      <c r="O192" s="793">
        <f t="shared" si="10"/>
        <v>602035.95370757021</v>
      </c>
      <c r="P192" s="793">
        <f t="shared" si="11"/>
        <v>0</v>
      </c>
    </row>
    <row r="193" spans="3:16">
      <c r="C193" s="789">
        <f>IF(D180="","-",+C192+1)</f>
        <v>2021</v>
      </c>
      <c r="D193" s="737">
        <f t="shared" si="12"/>
        <v>71956263.862113848</v>
      </c>
      <c r="E193" s="790">
        <f t="shared" si="14"/>
        <v>2075661.4575609758</v>
      </c>
      <c r="F193" s="790">
        <f t="shared" si="8"/>
        <v>69880602.404552877</v>
      </c>
      <c r="G193" s="737">
        <f t="shared" si="13"/>
        <v>70918433.133333355</v>
      </c>
      <c r="H193" s="795">
        <f>+J181*G193+E193</f>
        <v>9968431.1828419082</v>
      </c>
      <c r="I193" s="796">
        <f>+J182*G193+E193</f>
        <v>9968431.1828419082</v>
      </c>
      <c r="J193" s="793">
        <f t="shared" si="15"/>
        <v>0</v>
      </c>
      <c r="K193" s="793"/>
      <c r="L193" s="813">
        <v>9610028.6801241823</v>
      </c>
      <c r="M193" s="793">
        <f t="shared" si="9"/>
        <v>358402.50271772593</v>
      </c>
      <c r="N193" s="813">
        <v>9610028.6801241823</v>
      </c>
      <c r="O193" s="793">
        <f t="shared" si="10"/>
        <v>358402.50271772593</v>
      </c>
      <c r="P193" s="793">
        <f t="shared" si="11"/>
        <v>0</v>
      </c>
    </row>
    <row r="194" spans="3:16">
      <c r="C194" s="789">
        <f>IF(D180="","-",+C193+1)</f>
        <v>2022</v>
      </c>
      <c r="D194" s="737">
        <f t="shared" si="12"/>
        <v>69880602.404552877</v>
      </c>
      <c r="E194" s="790">
        <f t="shared" si="14"/>
        <v>2075661.4575609758</v>
      </c>
      <c r="F194" s="790">
        <f t="shared" si="8"/>
        <v>67804940.946991906</v>
      </c>
      <c r="G194" s="737">
        <f t="shared" si="13"/>
        <v>68842771.675772399</v>
      </c>
      <c r="H194" s="795">
        <f>+J181*G194+E194</f>
        <v>9737423.2884434443</v>
      </c>
      <c r="I194" s="796">
        <f>+J182*G194+E194</f>
        <v>9737423.2884434443</v>
      </c>
      <c r="J194" s="793">
        <f t="shared" si="15"/>
        <v>0</v>
      </c>
      <c r="K194" s="793"/>
      <c r="L194" s="813">
        <v>9569446.9786294643</v>
      </c>
      <c r="M194" s="793">
        <f t="shared" si="9"/>
        <v>167976.30981398001</v>
      </c>
      <c r="N194" s="813">
        <v>9569446.9786294643</v>
      </c>
      <c r="O194" s="793">
        <f t="shared" si="10"/>
        <v>167976.30981398001</v>
      </c>
      <c r="P194" s="793">
        <f t="shared" si="11"/>
        <v>0</v>
      </c>
    </row>
    <row r="195" spans="3:16">
      <c r="C195" s="789">
        <f>IF(D180="","-",+C194+1)</f>
        <v>2023</v>
      </c>
      <c r="D195" s="737">
        <f t="shared" si="12"/>
        <v>67804940.946991906</v>
      </c>
      <c r="E195" s="790">
        <f t="shared" si="14"/>
        <v>2075661.4575609758</v>
      </c>
      <c r="F195" s="790">
        <f t="shared" si="8"/>
        <v>65729279.489430927</v>
      </c>
      <c r="G195" s="737">
        <f t="shared" si="13"/>
        <v>66767110.218211412</v>
      </c>
      <c r="H195" s="795">
        <f>+J181*G195+E195</f>
        <v>9506415.3940449767</v>
      </c>
      <c r="I195" s="796">
        <f>+J182*G195+E195</f>
        <v>9506415.3940449767</v>
      </c>
      <c r="J195" s="793">
        <f t="shared" si="15"/>
        <v>0</v>
      </c>
      <c r="K195" s="793"/>
      <c r="L195" s="813"/>
      <c r="M195" s="793">
        <f t="shared" si="9"/>
        <v>0</v>
      </c>
      <c r="N195" s="813"/>
      <c r="O195" s="793">
        <f t="shared" si="10"/>
        <v>0</v>
      </c>
      <c r="P195" s="793">
        <f t="shared" si="11"/>
        <v>0</v>
      </c>
    </row>
    <row r="196" spans="3:16">
      <c r="C196" s="789">
        <f>IF(D180="","-",+C195+1)</f>
        <v>2024</v>
      </c>
      <c r="D196" s="737">
        <f t="shared" si="12"/>
        <v>65729279.489430927</v>
      </c>
      <c r="E196" s="790">
        <f t="shared" si="14"/>
        <v>2075661.4575609758</v>
      </c>
      <c r="F196" s="790">
        <f t="shared" si="8"/>
        <v>63653618.031869948</v>
      </c>
      <c r="G196" s="737">
        <f t="shared" si="13"/>
        <v>64691448.760650441</v>
      </c>
      <c r="H196" s="795">
        <f>+J181*G196+E196</f>
        <v>9275407.4996465109</v>
      </c>
      <c r="I196" s="796">
        <f>+J182*G196+E196</f>
        <v>9275407.4996465109</v>
      </c>
      <c r="J196" s="793">
        <f t="shared" si="15"/>
        <v>0</v>
      </c>
      <c r="K196" s="793"/>
      <c r="L196" s="813"/>
      <c r="M196" s="793">
        <f t="shared" si="9"/>
        <v>0</v>
      </c>
      <c r="N196" s="813"/>
      <c r="O196" s="793">
        <f t="shared" si="10"/>
        <v>0</v>
      </c>
      <c r="P196" s="793">
        <f t="shared" si="11"/>
        <v>0</v>
      </c>
    </row>
    <row r="197" spans="3:16">
      <c r="C197" s="789">
        <f>IF(D180="","-",+C196+1)</f>
        <v>2025</v>
      </c>
      <c r="D197" s="737">
        <f t="shared" si="12"/>
        <v>63653618.031869948</v>
      </c>
      <c r="E197" s="790">
        <f t="shared" si="14"/>
        <v>2075661.4575609758</v>
      </c>
      <c r="F197" s="790">
        <f t="shared" si="8"/>
        <v>61577956.574308969</v>
      </c>
      <c r="G197" s="737">
        <f t="shared" si="13"/>
        <v>62615787.303089455</v>
      </c>
      <c r="H197" s="795">
        <f>+J181*G197+E197</f>
        <v>9044399.6052480433</v>
      </c>
      <c r="I197" s="796">
        <f>+J182*G197+E197</f>
        <v>9044399.6052480433</v>
      </c>
      <c r="J197" s="793">
        <f t="shared" si="15"/>
        <v>0</v>
      </c>
      <c r="K197" s="793"/>
      <c r="L197" s="813"/>
      <c r="M197" s="793">
        <f t="shared" si="9"/>
        <v>0</v>
      </c>
      <c r="N197" s="813"/>
      <c r="O197" s="793">
        <f t="shared" si="10"/>
        <v>0</v>
      </c>
      <c r="P197" s="793">
        <f t="shared" si="11"/>
        <v>0</v>
      </c>
    </row>
    <row r="198" spans="3:16">
      <c r="C198" s="789">
        <f>IF(D180="","-",+C197+1)</f>
        <v>2026</v>
      </c>
      <c r="D198" s="737">
        <f t="shared" si="12"/>
        <v>61577956.574308969</v>
      </c>
      <c r="E198" s="790">
        <f t="shared" si="14"/>
        <v>2075661.4575609758</v>
      </c>
      <c r="F198" s="790">
        <f t="shared" si="8"/>
        <v>59502295.11674799</v>
      </c>
      <c r="G198" s="737">
        <f t="shared" si="13"/>
        <v>60540125.845528483</v>
      </c>
      <c r="H198" s="795">
        <f>+J181*G198+E198</f>
        <v>8813391.7108495776</v>
      </c>
      <c r="I198" s="796">
        <f>+J182*G198+E198</f>
        <v>8813391.7108495776</v>
      </c>
      <c r="J198" s="793">
        <f t="shared" si="15"/>
        <v>0</v>
      </c>
      <c r="K198" s="793"/>
      <c r="L198" s="813"/>
      <c r="M198" s="793">
        <f t="shared" si="9"/>
        <v>0</v>
      </c>
      <c r="N198" s="813"/>
      <c r="O198" s="793">
        <f t="shared" si="10"/>
        <v>0</v>
      </c>
      <c r="P198" s="793">
        <f t="shared" si="11"/>
        <v>0</v>
      </c>
    </row>
    <row r="199" spans="3:16">
      <c r="C199" s="789">
        <f>IF(D180="","-",+C198+1)</f>
        <v>2027</v>
      </c>
      <c r="D199" s="737">
        <f t="shared" si="12"/>
        <v>59502295.11674799</v>
      </c>
      <c r="E199" s="790">
        <f t="shared" si="14"/>
        <v>2075661.4575609758</v>
      </c>
      <c r="F199" s="790">
        <f t="shared" si="8"/>
        <v>57426633.659187011</v>
      </c>
      <c r="G199" s="737">
        <f t="shared" si="13"/>
        <v>58464464.387967497</v>
      </c>
      <c r="H199" s="795">
        <f>+J181*G199+E199</f>
        <v>8582383.8164511099</v>
      </c>
      <c r="I199" s="796">
        <f>+J182*G199+E199</f>
        <v>8582383.8164511099</v>
      </c>
      <c r="J199" s="793">
        <f t="shared" si="15"/>
        <v>0</v>
      </c>
      <c r="K199" s="793"/>
      <c r="L199" s="813"/>
      <c r="M199" s="793">
        <f t="shared" si="9"/>
        <v>0</v>
      </c>
      <c r="N199" s="813"/>
      <c r="O199" s="793">
        <f t="shared" si="10"/>
        <v>0</v>
      </c>
      <c r="P199" s="793">
        <f t="shared" si="11"/>
        <v>0</v>
      </c>
    </row>
    <row r="200" spans="3:16">
      <c r="C200" s="789">
        <f>IF(D180="","-",+C199+1)</f>
        <v>2028</v>
      </c>
      <c r="D200" s="737">
        <f t="shared" si="12"/>
        <v>57426633.659187011</v>
      </c>
      <c r="E200" s="790">
        <f t="shared" si="14"/>
        <v>2075661.4575609758</v>
      </c>
      <c r="F200" s="790">
        <f t="shared" si="8"/>
        <v>55350972.201626033</v>
      </c>
      <c r="G200" s="737">
        <f t="shared" si="13"/>
        <v>56388802.930406526</v>
      </c>
      <c r="H200" s="795">
        <f>+J181*G200+E200</f>
        <v>8351375.9220526451</v>
      </c>
      <c r="I200" s="796">
        <f>+J182*G200+E200</f>
        <v>8351375.9220526451</v>
      </c>
      <c r="J200" s="793">
        <f t="shared" si="15"/>
        <v>0</v>
      </c>
      <c r="K200" s="793"/>
      <c r="L200" s="813"/>
      <c r="M200" s="793">
        <f t="shared" si="9"/>
        <v>0</v>
      </c>
      <c r="N200" s="813"/>
      <c r="O200" s="793">
        <f t="shared" si="10"/>
        <v>0</v>
      </c>
      <c r="P200" s="793">
        <f t="shared" si="11"/>
        <v>0</v>
      </c>
    </row>
    <row r="201" spans="3:16">
      <c r="C201" s="789">
        <f>IF(D180="","-",+C200+1)</f>
        <v>2029</v>
      </c>
      <c r="D201" s="737">
        <f t="shared" si="12"/>
        <v>55350972.201626033</v>
      </c>
      <c r="E201" s="790">
        <f t="shared" si="14"/>
        <v>2075661.4575609758</v>
      </c>
      <c r="F201" s="790">
        <f t="shared" si="8"/>
        <v>53275310.744065054</v>
      </c>
      <c r="G201" s="737">
        <f t="shared" si="13"/>
        <v>54313141.472845539</v>
      </c>
      <c r="H201" s="795">
        <f>+J181*G201+E201</f>
        <v>8120368.0276541775</v>
      </c>
      <c r="I201" s="796">
        <f>+J182*G201+E201</f>
        <v>8120368.0276541775</v>
      </c>
      <c r="J201" s="793">
        <f t="shared" si="15"/>
        <v>0</v>
      </c>
      <c r="K201" s="793"/>
      <c r="L201" s="813"/>
      <c r="M201" s="793">
        <f t="shared" si="9"/>
        <v>0</v>
      </c>
      <c r="N201" s="813"/>
      <c r="O201" s="793">
        <f t="shared" si="10"/>
        <v>0</v>
      </c>
      <c r="P201" s="793">
        <f t="shared" si="11"/>
        <v>0</v>
      </c>
    </row>
    <row r="202" spans="3:16">
      <c r="C202" s="789">
        <f>IF(D180="","-",+C201+1)</f>
        <v>2030</v>
      </c>
      <c r="D202" s="737">
        <f t="shared" si="12"/>
        <v>53275310.744065054</v>
      </c>
      <c r="E202" s="790">
        <f t="shared" si="14"/>
        <v>2075661.4575609758</v>
      </c>
      <c r="F202" s="790">
        <f t="shared" si="8"/>
        <v>51199649.286504075</v>
      </c>
      <c r="G202" s="737">
        <f t="shared" si="13"/>
        <v>52237480.015284568</v>
      </c>
      <c r="H202" s="795">
        <f>+J181*G202+E202</f>
        <v>7889360.1332557118</v>
      </c>
      <c r="I202" s="796">
        <f>+J182*G202+E202</f>
        <v>7889360.1332557118</v>
      </c>
      <c r="J202" s="793">
        <f t="shared" si="15"/>
        <v>0</v>
      </c>
      <c r="K202" s="793"/>
      <c r="L202" s="813"/>
      <c r="M202" s="793">
        <f t="shared" si="9"/>
        <v>0</v>
      </c>
      <c r="N202" s="813"/>
      <c r="O202" s="793">
        <f t="shared" si="10"/>
        <v>0</v>
      </c>
      <c r="P202" s="793">
        <f t="shared" si="11"/>
        <v>0</v>
      </c>
    </row>
    <row r="203" spans="3:16">
      <c r="C203" s="789">
        <f>IF(D180="","-",+C202+1)</f>
        <v>2031</v>
      </c>
      <c r="D203" s="737">
        <f t="shared" si="12"/>
        <v>51199649.286504075</v>
      </c>
      <c r="E203" s="790">
        <f t="shared" si="14"/>
        <v>2075661.4575609758</v>
      </c>
      <c r="F203" s="790">
        <f t="shared" si="8"/>
        <v>49123987.828943096</v>
      </c>
      <c r="G203" s="737">
        <f t="shared" si="13"/>
        <v>50161818.557723582</v>
      </c>
      <c r="H203" s="795">
        <f>+J181*G203+E203</f>
        <v>7658352.2388572441</v>
      </c>
      <c r="I203" s="796">
        <f>+J182*G203+E203</f>
        <v>7658352.2388572441</v>
      </c>
      <c r="J203" s="793">
        <f t="shared" si="15"/>
        <v>0</v>
      </c>
      <c r="K203" s="793"/>
      <c r="L203" s="813"/>
      <c r="M203" s="793">
        <f t="shared" si="9"/>
        <v>0</v>
      </c>
      <c r="N203" s="813"/>
      <c r="O203" s="793">
        <f t="shared" si="10"/>
        <v>0</v>
      </c>
      <c r="P203" s="793">
        <f t="shared" si="11"/>
        <v>0</v>
      </c>
    </row>
    <row r="204" spans="3:16">
      <c r="C204" s="789">
        <f>IF(D180="","-",+C203+1)</f>
        <v>2032</v>
      </c>
      <c r="D204" s="737">
        <f t="shared" si="12"/>
        <v>49123987.828943096</v>
      </c>
      <c r="E204" s="790">
        <f t="shared" si="14"/>
        <v>2075661.4575609758</v>
      </c>
      <c r="F204" s="790">
        <f t="shared" si="8"/>
        <v>47048326.371382117</v>
      </c>
      <c r="G204" s="737">
        <f t="shared" si="13"/>
        <v>48086157.10016261</v>
      </c>
      <c r="H204" s="795">
        <f>+J181*G204+E204</f>
        <v>7427344.3444587784</v>
      </c>
      <c r="I204" s="796">
        <f>+J182*G204+E204</f>
        <v>7427344.3444587784</v>
      </c>
      <c r="J204" s="793">
        <f t="shared" si="15"/>
        <v>0</v>
      </c>
      <c r="K204" s="793"/>
      <c r="L204" s="813"/>
      <c r="M204" s="793">
        <f t="shared" si="9"/>
        <v>0</v>
      </c>
      <c r="N204" s="813"/>
      <c r="O204" s="793">
        <f t="shared" si="10"/>
        <v>0</v>
      </c>
      <c r="P204" s="793">
        <f t="shared" si="11"/>
        <v>0</v>
      </c>
    </row>
    <row r="205" spans="3:16">
      <c r="C205" s="789">
        <f>IF(D180="","-",+C204+1)</f>
        <v>2033</v>
      </c>
      <c r="D205" s="737">
        <f t="shared" si="12"/>
        <v>47048326.371382117</v>
      </c>
      <c r="E205" s="790">
        <f t="shared" si="14"/>
        <v>2075661.4575609758</v>
      </c>
      <c r="F205" s="790">
        <f t="shared" si="8"/>
        <v>44972664.913821138</v>
      </c>
      <c r="G205" s="737">
        <f t="shared" si="13"/>
        <v>46010495.642601624</v>
      </c>
      <c r="H205" s="795">
        <f>+J181*G205+E205</f>
        <v>7196336.4500603108</v>
      </c>
      <c r="I205" s="796">
        <f>+J182*G205+E205</f>
        <v>7196336.4500603108</v>
      </c>
      <c r="J205" s="793">
        <f t="shared" si="15"/>
        <v>0</v>
      </c>
      <c r="K205" s="793"/>
      <c r="L205" s="813"/>
      <c r="M205" s="793">
        <f t="shared" si="9"/>
        <v>0</v>
      </c>
      <c r="N205" s="813"/>
      <c r="O205" s="793">
        <f t="shared" si="10"/>
        <v>0</v>
      </c>
      <c r="P205" s="793">
        <f t="shared" si="11"/>
        <v>0</v>
      </c>
    </row>
    <row r="206" spans="3:16">
      <c r="C206" s="789">
        <f>IF(D180="","-",+C205+1)</f>
        <v>2034</v>
      </c>
      <c r="D206" s="737">
        <f t="shared" si="12"/>
        <v>44972664.913821138</v>
      </c>
      <c r="E206" s="790">
        <f t="shared" si="14"/>
        <v>2075661.4575609758</v>
      </c>
      <c r="F206" s="790">
        <f t="shared" si="8"/>
        <v>42897003.45626016</v>
      </c>
      <c r="G206" s="737">
        <f t="shared" si="13"/>
        <v>43934834.185040653</v>
      </c>
      <c r="H206" s="795">
        <f>+J181*G206+E206</f>
        <v>6965328.555661845</v>
      </c>
      <c r="I206" s="796">
        <f>+J182*G206+E206</f>
        <v>6965328.555661845</v>
      </c>
      <c r="J206" s="793">
        <f t="shared" si="15"/>
        <v>0</v>
      </c>
      <c r="K206" s="793"/>
      <c r="L206" s="813"/>
      <c r="M206" s="793">
        <f t="shared" si="9"/>
        <v>0</v>
      </c>
      <c r="N206" s="813"/>
      <c r="O206" s="793">
        <f t="shared" si="10"/>
        <v>0</v>
      </c>
      <c r="P206" s="793">
        <f t="shared" si="11"/>
        <v>0</v>
      </c>
    </row>
    <row r="207" spans="3:16">
      <c r="C207" s="789">
        <f>IF(D180="","-",+C206+1)</f>
        <v>2035</v>
      </c>
      <c r="D207" s="737">
        <f t="shared" si="12"/>
        <v>42897003.45626016</v>
      </c>
      <c r="E207" s="790">
        <f t="shared" si="14"/>
        <v>2075661.4575609758</v>
      </c>
      <c r="F207" s="790">
        <f t="shared" si="8"/>
        <v>40821341.998699181</v>
      </c>
      <c r="G207" s="737">
        <f t="shared" si="13"/>
        <v>41859172.727479666</v>
      </c>
      <c r="H207" s="795">
        <f>+J181*G207+E207</f>
        <v>6734320.6612633774</v>
      </c>
      <c r="I207" s="796">
        <f>+J182*G207+E207</f>
        <v>6734320.6612633774</v>
      </c>
      <c r="J207" s="793">
        <f t="shared" si="15"/>
        <v>0</v>
      </c>
      <c r="K207" s="793"/>
      <c r="L207" s="813"/>
      <c r="M207" s="793">
        <f t="shared" si="9"/>
        <v>0</v>
      </c>
      <c r="N207" s="813"/>
      <c r="O207" s="793">
        <f t="shared" si="10"/>
        <v>0</v>
      </c>
      <c r="P207" s="793">
        <f t="shared" si="11"/>
        <v>0</v>
      </c>
    </row>
    <row r="208" spans="3:16">
      <c r="C208" s="789">
        <f>IF(D180="","-",+C207+1)</f>
        <v>2036</v>
      </c>
      <c r="D208" s="737">
        <f t="shared" si="12"/>
        <v>40821341.998699181</v>
      </c>
      <c r="E208" s="790">
        <f t="shared" si="14"/>
        <v>2075661.4575609758</v>
      </c>
      <c r="F208" s="790">
        <f t="shared" si="8"/>
        <v>38745680.541138202</v>
      </c>
      <c r="G208" s="737">
        <f t="shared" si="13"/>
        <v>39783511.269918695</v>
      </c>
      <c r="H208" s="795">
        <f>+J181*G208+E208</f>
        <v>6503312.7668649117</v>
      </c>
      <c r="I208" s="796">
        <f>+J182*G208+E208</f>
        <v>6503312.7668649117</v>
      </c>
      <c r="J208" s="793">
        <f t="shared" si="15"/>
        <v>0</v>
      </c>
      <c r="K208" s="793"/>
      <c r="L208" s="813"/>
      <c r="M208" s="793">
        <f t="shared" si="9"/>
        <v>0</v>
      </c>
      <c r="N208" s="813"/>
      <c r="O208" s="793">
        <f t="shared" si="10"/>
        <v>0</v>
      </c>
      <c r="P208" s="793">
        <f t="shared" si="11"/>
        <v>0</v>
      </c>
    </row>
    <row r="209" spans="3:16">
      <c r="C209" s="789">
        <f>IF(D180="","-",+C208+1)</f>
        <v>2037</v>
      </c>
      <c r="D209" s="737">
        <f t="shared" si="12"/>
        <v>38745680.541138202</v>
      </c>
      <c r="E209" s="790">
        <f t="shared" si="14"/>
        <v>2075661.4575609758</v>
      </c>
      <c r="F209" s="790">
        <f t="shared" si="8"/>
        <v>36670019.083577223</v>
      </c>
      <c r="G209" s="737">
        <f t="shared" si="13"/>
        <v>37707849.812357709</v>
      </c>
      <c r="H209" s="795">
        <f>+J181*G209+E209</f>
        <v>6272304.872466445</v>
      </c>
      <c r="I209" s="796">
        <f>+J182*G209+E209</f>
        <v>6272304.872466445</v>
      </c>
      <c r="J209" s="793">
        <f t="shared" si="15"/>
        <v>0</v>
      </c>
      <c r="K209" s="793"/>
      <c r="L209" s="813"/>
      <c r="M209" s="793">
        <f t="shared" si="9"/>
        <v>0</v>
      </c>
      <c r="N209" s="813"/>
      <c r="O209" s="793">
        <f t="shared" si="10"/>
        <v>0</v>
      </c>
      <c r="P209" s="793">
        <f t="shared" si="11"/>
        <v>0</v>
      </c>
    </row>
    <row r="210" spans="3:16">
      <c r="C210" s="789">
        <f>IF(D180="","-",+C209+1)</f>
        <v>2038</v>
      </c>
      <c r="D210" s="737">
        <f t="shared" si="12"/>
        <v>36670019.083577223</v>
      </c>
      <c r="E210" s="790">
        <f t="shared" si="14"/>
        <v>2075661.4575609758</v>
      </c>
      <c r="F210" s="790">
        <f t="shared" si="8"/>
        <v>34594357.626016244</v>
      </c>
      <c r="G210" s="737">
        <f t="shared" si="13"/>
        <v>35632188.354796737</v>
      </c>
      <c r="H210" s="795">
        <f>+J181*G210+E210</f>
        <v>6041296.9780679783</v>
      </c>
      <c r="I210" s="796">
        <f>+J182*G210+E210</f>
        <v>6041296.9780679783</v>
      </c>
      <c r="J210" s="793">
        <f t="shared" si="15"/>
        <v>0</v>
      </c>
      <c r="K210" s="793"/>
      <c r="L210" s="813"/>
      <c r="M210" s="793">
        <f t="shared" si="9"/>
        <v>0</v>
      </c>
      <c r="N210" s="813"/>
      <c r="O210" s="793">
        <f t="shared" si="10"/>
        <v>0</v>
      </c>
      <c r="P210" s="793">
        <f t="shared" si="11"/>
        <v>0</v>
      </c>
    </row>
    <row r="211" spans="3:16">
      <c r="C211" s="789">
        <f>IF(D180="","-",+C210+1)</f>
        <v>2039</v>
      </c>
      <c r="D211" s="737">
        <f t="shared" si="12"/>
        <v>34594357.626016244</v>
      </c>
      <c r="E211" s="790">
        <f t="shared" si="14"/>
        <v>2075661.4575609758</v>
      </c>
      <c r="F211" s="790">
        <f t="shared" si="8"/>
        <v>32518696.168455269</v>
      </c>
      <c r="G211" s="737">
        <f t="shared" si="13"/>
        <v>33556526.897235759</v>
      </c>
      <c r="H211" s="795">
        <f>+J181*G211+E211</f>
        <v>5810289.0836695116</v>
      </c>
      <c r="I211" s="796">
        <f>+J182*G211+E211</f>
        <v>5810289.0836695116</v>
      </c>
      <c r="J211" s="793">
        <f t="shared" si="15"/>
        <v>0</v>
      </c>
      <c r="K211" s="793"/>
      <c r="L211" s="813"/>
      <c r="M211" s="793">
        <f t="shared" si="9"/>
        <v>0</v>
      </c>
      <c r="N211" s="813"/>
      <c r="O211" s="793">
        <f t="shared" si="10"/>
        <v>0</v>
      </c>
      <c r="P211" s="793">
        <f t="shared" si="11"/>
        <v>0</v>
      </c>
    </row>
    <row r="212" spans="3:16">
      <c r="C212" s="789">
        <f>IF(D180="","-",+C211+1)</f>
        <v>2040</v>
      </c>
      <c r="D212" s="737">
        <f t="shared" si="12"/>
        <v>32518696.168455269</v>
      </c>
      <c r="E212" s="790">
        <f t="shared" si="14"/>
        <v>2075661.4575609758</v>
      </c>
      <c r="F212" s="790">
        <f t="shared" si="8"/>
        <v>30443034.710894294</v>
      </c>
      <c r="G212" s="737">
        <f t="shared" si="13"/>
        <v>31480865.43967478</v>
      </c>
      <c r="H212" s="795">
        <f>+J181*G212+E212</f>
        <v>5579281.1892710449</v>
      </c>
      <c r="I212" s="796">
        <f>+J182*G212+E212</f>
        <v>5579281.1892710449</v>
      </c>
      <c r="J212" s="793">
        <f t="shared" si="15"/>
        <v>0</v>
      </c>
      <c r="K212" s="793"/>
      <c r="L212" s="813"/>
      <c r="M212" s="793">
        <f t="shared" si="9"/>
        <v>0</v>
      </c>
      <c r="N212" s="813"/>
      <c r="O212" s="793">
        <f t="shared" si="10"/>
        <v>0</v>
      </c>
      <c r="P212" s="793">
        <f t="shared" si="11"/>
        <v>0</v>
      </c>
    </row>
    <row r="213" spans="3:16">
      <c r="C213" s="789">
        <f>IF(D180="","-",+C212+1)</f>
        <v>2041</v>
      </c>
      <c r="D213" s="737">
        <f t="shared" si="12"/>
        <v>30443034.710894294</v>
      </c>
      <c r="E213" s="790">
        <f t="shared" si="14"/>
        <v>2075661.4575609758</v>
      </c>
      <c r="F213" s="790">
        <f t="shared" si="8"/>
        <v>28367373.253333319</v>
      </c>
      <c r="G213" s="737">
        <f t="shared" si="13"/>
        <v>29405203.982113808</v>
      </c>
      <c r="H213" s="795">
        <f>+J181*G213+E213</f>
        <v>5348273.2948725792</v>
      </c>
      <c r="I213" s="796">
        <f>+J182*G213+E213</f>
        <v>5348273.2948725792</v>
      </c>
      <c r="J213" s="793">
        <f t="shared" si="15"/>
        <v>0</v>
      </c>
      <c r="K213" s="793"/>
      <c r="L213" s="813"/>
      <c r="M213" s="793">
        <f t="shared" si="9"/>
        <v>0</v>
      </c>
      <c r="N213" s="813"/>
      <c r="O213" s="793">
        <f t="shared" si="10"/>
        <v>0</v>
      </c>
      <c r="P213" s="793">
        <f t="shared" si="11"/>
        <v>0</v>
      </c>
    </row>
    <row r="214" spans="3:16">
      <c r="C214" s="789">
        <f>IF(D180="","-",+C213+1)</f>
        <v>2042</v>
      </c>
      <c r="D214" s="737">
        <f t="shared" si="12"/>
        <v>28367373.253333319</v>
      </c>
      <c r="E214" s="790">
        <f t="shared" si="14"/>
        <v>2075661.4575609758</v>
      </c>
      <c r="F214" s="790">
        <f t="shared" si="8"/>
        <v>26291711.795772344</v>
      </c>
      <c r="G214" s="737">
        <f t="shared" si="13"/>
        <v>27329542.52455283</v>
      </c>
      <c r="H214" s="795">
        <f>+J181*G214+E214</f>
        <v>5117265.4004741134</v>
      </c>
      <c r="I214" s="796">
        <f>+J182*G214+E214</f>
        <v>5117265.4004741134</v>
      </c>
      <c r="J214" s="793">
        <f t="shared" si="15"/>
        <v>0</v>
      </c>
      <c r="K214" s="793"/>
      <c r="L214" s="813"/>
      <c r="M214" s="793">
        <f t="shared" si="9"/>
        <v>0</v>
      </c>
      <c r="N214" s="813"/>
      <c r="O214" s="793">
        <f t="shared" si="10"/>
        <v>0</v>
      </c>
      <c r="P214" s="793">
        <f t="shared" si="11"/>
        <v>0</v>
      </c>
    </row>
    <row r="215" spans="3:16">
      <c r="C215" s="789">
        <f>IF(D180="","-",+C214+1)</f>
        <v>2043</v>
      </c>
      <c r="D215" s="737">
        <f t="shared" si="12"/>
        <v>26291711.795772344</v>
      </c>
      <c r="E215" s="790">
        <f t="shared" si="14"/>
        <v>2075661.4575609758</v>
      </c>
      <c r="F215" s="790">
        <f t="shared" si="8"/>
        <v>24216050.338211369</v>
      </c>
      <c r="G215" s="737">
        <f t="shared" si="13"/>
        <v>25253881.066991858</v>
      </c>
      <c r="H215" s="795">
        <f>+J181*G215+E215</f>
        <v>4886257.5060756467</v>
      </c>
      <c r="I215" s="796">
        <f>+J182*G215+E215</f>
        <v>4886257.5060756467</v>
      </c>
      <c r="J215" s="793">
        <f t="shared" si="15"/>
        <v>0</v>
      </c>
      <c r="K215" s="793"/>
      <c r="L215" s="813"/>
      <c r="M215" s="793">
        <f t="shared" si="9"/>
        <v>0</v>
      </c>
      <c r="N215" s="813"/>
      <c r="O215" s="793">
        <f t="shared" si="10"/>
        <v>0</v>
      </c>
      <c r="P215" s="793">
        <f t="shared" si="11"/>
        <v>0</v>
      </c>
    </row>
    <row r="216" spans="3:16">
      <c r="C216" s="789">
        <f>IF(D180="","-",+C215+1)</f>
        <v>2044</v>
      </c>
      <c r="D216" s="737">
        <f t="shared" si="12"/>
        <v>24216050.338211369</v>
      </c>
      <c r="E216" s="790">
        <f t="shared" si="14"/>
        <v>2075661.4575609758</v>
      </c>
      <c r="F216" s="790">
        <f t="shared" si="8"/>
        <v>22140388.880650394</v>
      </c>
      <c r="G216" s="737">
        <f t="shared" si="13"/>
        <v>23178219.609430879</v>
      </c>
      <c r="H216" s="795">
        <f>+J181*G216+E216</f>
        <v>4655249.611677181</v>
      </c>
      <c r="I216" s="796">
        <f>+J182*G216+E216</f>
        <v>4655249.611677181</v>
      </c>
      <c r="J216" s="793">
        <f t="shared" si="15"/>
        <v>0</v>
      </c>
      <c r="K216" s="793"/>
      <c r="L216" s="813"/>
      <c r="M216" s="793">
        <f t="shared" si="9"/>
        <v>0</v>
      </c>
      <c r="N216" s="813"/>
      <c r="O216" s="793">
        <f t="shared" si="10"/>
        <v>0</v>
      </c>
      <c r="P216" s="793">
        <f t="shared" si="11"/>
        <v>0</v>
      </c>
    </row>
    <row r="217" spans="3:16">
      <c r="C217" s="789">
        <f>IF(D180="","-",+C216+1)</f>
        <v>2045</v>
      </c>
      <c r="D217" s="737">
        <f t="shared" si="12"/>
        <v>22140388.880650394</v>
      </c>
      <c r="E217" s="790">
        <f t="shared" si="14"/>
        <v>2075661.4575609758</v>
      </c>
      <c r="F217" s="790">
        <f t="shared" si="8"/>
        <v>20064727.423089419</v>
      </c>
      <c r="G217" s="737">
        <f t="shared" si="13"/>
        <v>21102558.151869908</v>
      </c>
      <c r="H217" s="795">
        <f>+J181*G217+E217</f>
        <v>4424241.7172787152</v>
      </c>
      <c r="I217" s="796">
        <f>+J182*G217+E217</f>
        <v>4424241.7172787152</v>
      </c>
      <c r="J217" s="793">
        <f t="shared" si="15"/>
        <v>0</v>
      </c>
      <c r="K217" s="793"/>
      <c r="L217" s="813"/>
      <c r="M217" s="793">
        <f t="shared" si="9"/>
        <v>0</v>
      </c>
      <c r="N217" s="813"/>
      <c r="O217" s="793">
        <f t="shared" si="10"/>
        <v>0</v>
      </c>
      <c r="P217" s="793">
        <f t="shared" si="11"/>
        <v>0</v>
      </c>
    </row>
    <row r="218" spans="3:16">
      <c r="C218" s="789">
        <f>IF(D180="","-",+C217+1)</f>
        <v>2046</v>
      </c>
      <c r="D218" s="737">
        <f t="shared" si="12"/>
        <v>20064727.423089419</v>
      </c>
      <c r="E218" s="790">
        <f t="shared" si="14"/>
        <v>2075661.4575609758</v>
      </c>
      <c r="F218" s="790">
        <f t="shared" si="8"/>
        <v>17989065.965528443</v>
      </c>
      <c r="G218" s="737">
        <f t="shared" si="13"/>
        <v>19026896.694308929</v>
      </c>
      <c r="H218" s="795">
        <f>+J181*G218+E218</f>
        <v>4193233.8228802485</v>
      </c>
      <c r="I218" s="796">
        <f>+J182*G218+E218</f>
        <v>4193233.8228802485</v>
      </c>
      <c r="J218" s="793">
        <f t="shared" si="15"/>
        <v>0</v>
      </c>
      <c r="K218" s="793"/>
      <c r="L218" s="813"/>
      <c r="M218" s="793">
        <f t="shared" si="9"/>
        <v>0</v>
      </c>
      <c r="N218" s="813"/>
      <c r="O218" s="793">
        <f t="shared" si="10"/>
        <v>0</v>
      </c>
      <c r="P218" s="793">
        <f t="shared" si="11"/>
        <v>0</v>
      </c>
    </row>
    <row r="219" spans="3:16">
      <c r="C219" s="789">
        <f>IF(D180="","-",+C218+1)</f>
        <v>2047</v>
      </c>
      <c r="D219" s="737">
        <f t="shared" si="12"/>
        <v>17989065.965528443</v>
      </c>
      <c r="E219" s="790">
        <f t="shared" si="14"/>
        <v>2075661.4575609758</v>
      </c>
      <c r="F219" s="790">
        <f t="shared" si="8"/>
        <v>15913404.507967468</v>
      </c>
      <c r="G219" s="737">
        <f t="shared" si="13"/>
        <v>16951235.236747958</v>
      </c>
      <c r="H219" s="795">
        <f>+J181*G219+E219</f>
        <v>3962225.9284817823</v>
      </c>
      <c r="I219" s="796">
        <f>+J182*G219+E219</f>
        <v>3962225.9284817823</v>
      </c>
      <c r="J219" s="793">
        <f t="shared" si="15"/>
        <v>0</v>
      </c>
      <c r="K219" s="793"/>
      <c r="L219" s="813"/>
      <c r="M219" s="793">
        <f t="shared" si="9"/>
        <v>0</v>
      </c>
      <c r="N219" s="813"/>
      <c r="O219" s="793">
        <f t="shared" si="10"/>
        <v>0</v>
      </c>
      <c r="P219" s="793">
        <f t="shared" si="11"/>
        <v>0</v>
      </c>
    </row>
    <row r="220" spans="3:16">
      <c r="C220" s="789">
        <f>IF(D180="","-",+C219+1)</f>
        <v>2048</v>
      </c>
      <c r="D220" s="737">
        <f t="shared" si="12"/>
        <v>15913404.507967468</v>
      </c>
      <c r="E220" s="790">
        <f t="shared" si="14"/>
        <v>2075661.4575609758</v>
      </c>
      <c r="F220" s="790">
        <f t="shared" si="8"/>
        <v>13837743.050406493</v>
      </c>
      <c r="G220" s="737">
        <f t="shared" si="13"/>
        <v>14875573.779186981</v>
      </c>
      <c r="H220" s="795">
        <f>+J181*G220+E220</f>
        <v>3731218.0340833161</v>
      </c>
      <c r="I220" s="796">
        <f>+J182*G220+E220</f>
        <v>3731218.0340833161</v>
      </c>
      <c r="J220" s="793">
        <f t="shared" si="15"/>
        <v>0</v>
      </c>
      <c r="K220" s="793"/>
      <c r="L220" s="813"/>
      <c r="M220" s="793">
        <f t="shared" si="9"/>
        <v>0</v>
      </c>
      <c r="N220" s="813"/>
      <c r="O220" s="793">
        <f t="shared" si="10"/>
        <v>0</v>
      </c>
      <c r="P220" s="793">
        <f t="shared" si="11"/>
        <v>0</v>
      </c>
    </row>
    <row r="221" spans="3:16">
      <c r="C221" s="789">
        <f>IF(D180="","-",+C220+1)</f>
        <v>2049</v>
      </c>
      <c r="D221" s="737">
        <f t="shared" si="12"/>
        <v>13837743.050406493</v>
      </c>
      <c r="E221" s="790">
        <f t="shared" si="14"/>
        <v>2075661.4575609758</v>
      </c>
      <c r="F221" s="790">
        <f t="shared" si="8"/>
        <v>11762081.592845518</v>
      </c>
      <c r="G221" s="737">
        <f t="shared" si="13"/>
        <v>12799912.321626006</v>
      </c>
      <c r="H221" s="795">
        <f>+J181*G221+E221</f>
        <v>3500210.1396848499</v>
      </c>
      <c r="I221" s="796">
        <f>+J182*G221+E221</f>
        <v>3500210.1396848499</v>
      </c>
      <c r="J221" s="793">
        <f t="shared" si="15"/>
        <v>0</v>
      </c>
      <c r="K221" s="793"/>
      <c r="L221" s="813"/>
      <c r="M221" s="793">
        <f t="shared" si="9"/>
        <v>0</v>
      </c>
      <c r="N221" s="813"/>
      <c r="O221" s="793">
        <f t="shared" si="10"/>
        <v>0</v>
      </c>
      <c r="P221" s="793">
        <f t="shared" si="11"/>
        <v>0</v>
      </c>
    </row>
    <row r="222" spans="3:16">
      <c r="C222" s="789">
        <f>IF(D180="","-",+C221+1)</f>
        <v>2050</v>
      </c>
      <c r="D222" s="737">
        <f t="shared" si="12"/>
        <v>11762081.592845518</v>
      </c>
      <c r="E222" s="790">
        <f t="shared" si="14"/>
        <v>2075661.4575609758</v>
      </c>
      <c r="F222" s="790">
        <f t="shared" si="8"/>
        <v>9686420.135284543</v>
      </c>
      <c r="G222" s="737">
        <f t="shared" si="13"/>
        <v>10724250.864065031</v>
      </c>
      <c r="H222" s="795">
        <f>+J181*G222+E222</f>
        <v>3269202.2452863837</v>
      </c>
      <c r="I222" s="796">
        <f>+J182*G222+E222</f>
        <v>3269202.2452863837</v>
      </c>
      <c r="J222" s="793">
        <f t="shared" si="15"/>
        <v>0</v>
      </c>
      <c r="K222" s="793"/>
      <c r="L222" s="813"/>
      <c r="M222" s="793">
        <f t="shared" si="9"/>
        <v>0</v>
      </c>
      <c r="N222" s="813"/>
      <c r="O222" s="793">
        <f t="shared" si="10"/>
        <v>0</v>
      </c>
      <c r="P222" s="793">
        <f t="shared" si="11"/>
        <v>0</v>
      </c>
    </row>
    <row r="223" spans="3:16">
      <c r="C223" s="789">
        <f>IF(D180="","-",+C222+1)</f>
        <v>2051</v>
      </c>
      <c r="D223" s="737">
        <f t="shared" si="12"/>
        <v>9686420.135284543</v>
      </c>
      <c r="E223" s="790">
        <f t="shared" si="14"/>
        <v>2075661.4575609758</v>
      </c>
      <c r="F223" s="790">
        <f t="shared" si="8"/>
        <v>7610758.677723567</v>
      </c>
      <c r="G223" s="737">
        <f t="shared" si="13"/>
        <v>8648589.4065040555</v>
      </c>
      <c r="H223" s="795">
        <f>+J181*G223+E223</f>
        <v>3038194.3508879174</v>
      </c>
      <c r="I223" s="796">
        <f>+J182*G223+E223</f>
        <v>3038194.3508879174</v>
      </c>
      <c r="J223" s="793">
        <f t="shared" si="15"/>
        <v>0</v>
      </c>
      <c r="K223" s="793"/>
      <c r="L223" s="813"/>
      <c r="M223" s="793">
        <f t="shared" si="9"/>
        <v>0</v>
      </c>
      <c r="N223" s="813"/>
      <c r="O223" s="793">
        <f t="shared" si="10"/>
        <v>0</v>
      </c>
      <c r="P223" s="793">
        <f t="shared" si="11"/>
        <v>0</v>
      </c>
    </row>
    <row r="224" spans="3:16">
      <c r="C224" s="789">
        <f>IF(D180="","-",+C223+1)</f>
        <v>2052</v>
      </c>
      <c r="D224" s="737">
        <f t="shared" si="12"/>
        <v>7610758.677723567</v>
      </c>
      <c r="E224" s="790">
        <f t="shared" si="14"/>
        <v>2075661.4575609758</v>
      </c>
      <c r="F224" s="790">
        <f t="shared" si="8"/>
        <v>5535097.220162591</v>
      </c>
      <c r="G224" s="737">
        <f t="shared" si="13"/>
        <v>6572927.9489430785</v>
      </c>
      <c r="H224" s="795">
        <f>+J181*G224+E224</f>
        <v>2807186.4564894512</v>
      </c>
      <c r="I224" s="796">
        <f>+J182*G224+E224</f>
        <v>2807186.4564894512</v>
      </c>
      <c r="J224" s="793">
        <f t="shared" si="15"/>
        <v>0</v>
      </c>
      <c r="K224" s="793"/>
      <c r="L224" s="813"/>
      <c r="M224" s="793">
        <f t="shared" si="9"/>
        <v>0</v>
      </c>
      <c r="N224" s="813"/>
      <c r="O224" s="793">
        <f t="shared" si="10"/>
        <v>0</v>
      </c>
      <c r="P224" s="793">
        <f t="shared" si="11"/>
        <v>0</v>
      </c>
    </row>
    <row r="225" spans="3:16">
      <c r="C225" s="789">
        <f>IF(D180="","-",+C224+1)</f>
        <v>2053</v>
      </c>
      <c r="D225" s="737">
        <f t="shared" si="12"/>
        <v>5535097.220162591</v>
      </c>
      <c r="E225" s="790">
        <f t="shared" si="14"/>
        <v>2075661.4575609758</v>
      </c>
      <c r="F225" s="790">
        <f t="shared" si="8"/>
        <v>3459435.7626016149</v>
      </c>
      <c r="G225" s="737">
        <f t="shared" si="13"/>
        <v>4497266.4913821034</v>
      </c>
      <c r="H225" s="795">
        <f>+J181*G225+E225</f>
        <v>2576178.562090985</v>
      </c>
      <c r="I225" s="796">
        <f>+J182*G225+E225</f>
        <v>2576178.562090985</v>
      </c>
      <c r="J225" s="793">
        <f t="shared" si="15"/>
        <v>0</v>
      </c>
      <c r="K225" s="793"/>
      <c r="L225" s="813"/>
      <c r="M225" s="793">
        <f t="shared" si="9"/>
        <v>0</v>
      </c>
      <c r="N225" s="813"/>
      <c r="O225" s="793">
        <f t="shared" si="10"/>
        <v>0</v>
      </c>
      <c r="P225" s="793">
        <f t="shared" si="11"/>
        <v>0</v>
      </c>
    </row>
    <row r="226" spans="3:16">
      <c r="C226" s="789">
        <f>IF(D180="","-",+C225+1)</f>
        <v>2054</v>
      </c>
      <c r="D226" s="737">
        <f t="shared" si="12"/>
        <v>3459435.7626016149</v>
      </c>
      <c r="E226" s="790">
        <f t="shared" si="14"/>
        <v>2075661.4575609758</v>
      </c>
      <c r="F226" s="790">
        <f t="shared" si="8"/>
        <v>1383774.3050406391</v>
      </c>
      <c r="G226" s="737">
        <f t="shared" si="13"/>
        <v>2421605.0338211269</v>
      </c>
      <c r="H226" s="795">
        <f>+J181*G226+E226</f>
        <v>2345170.6676925183</v>
      </c>
      <c r="I226" s="796">
        <f>+J182*G226+E226</f>
        <v>2345170.6676925183</v>
      </c>
      <c r="J226" s="793">
        <f t="shared" si="15"/>
        <v>0</v>
      </c>
      <c r="K226" s="793"/>
      <c r="L226" s="813"/>
      <c r="M226" s="793">
        <f t="shared" si="9"/>
        <v>0</v>
      </c>
      <c r="N226" s="813"/>
      <c r="O226" s="793">
        <f t="shared" si="10"/>
        <v>0</v>
      </c>
      <c r="P226" s="793">
        <f t="shared" si="11"/>
        <v>0</v>
      </c>
    </row>
    <row r="227" spans="3:16">
      <c r="C227" s="789">
        <f>IF(D180="","-",+C226+1)</f>
        <v>2055</v>
      </c>
      <c r="D227" s="737">
        <f t="shared" si="12"/>
        <v>1383774.3050406391</v>
      </c>
      <c r="E227" s="790">
        <f t="shared" si="14"/>
        <v>1383774.3050406391</v>
      </c>
      <c r="F227" s="790">
        <f t="shared" si="8"/>
        <v>0</v>
      </c>
      <c r="G227" s="737">
        <f t="shared" si="13"/>
        <v>691887.15252031956</v>
      </c>
      <c r="H227" s="795">
        <f>+J181*G227+E227</f>
        <v>1460776.9365067938</v>
      </c>
      <c r="I227" s="796">
        <f>+J182*G227+E227</f>
        <v>1460776.9365067938</v>
      </c>
      <c r="J227" s="793">
        <f t="shared" si="15"/>
        <v>0</v>
      </c>
      <c r="K227" s="793"/>
      <c r="L227" s="813"/>
      <c r="M227" s="793">
        <f t="shared" si="9"/>
        <v>0</v>
      </c>
      <c r="N227" s="813"/>
      <c r="O227" s="793">
        <f t="shared" si="10"/>
        <v>0</v>
      </c>
      <c r="P227" s="793">
        <f t="shared" si="11"/>
        <v>0</v>
      </c>
    </row>
    <row r="228" spans="3:16">
      <c r="C228" s="789">
        <f>IF(D180="","-",+C227+1)</f>
        <v>2056</v>
      </c>
      <c r="D228" s="737">
        <f t="shared" si="12"/>
        <v>0</v>
      </c>
      <c r="E228" s="790">
        <f t="shared" si="14"/>
        <v>0</v>
      </c>
      <c r="F228" s="790">
        <f t="shared" si="8"/>
        <v>0</v>
      </c>
      <c r="G228" s="737">
        <f t="shared" si="13"/>
        <v>0</v>
      </c>
      <c r="H228" s="795">
        <f>+J181*G228+E228</f>
        <v>0</v>
      </c>
      <c r="I228" s="796">
        <f>+J182*G228+E228</f>
        <v>0</v>
      </c>
      <c r="J228" s="793">
        <f t="shared" si="15"/>
        <v>0</v>
      </c>
      <c r="K228" s="793"/>
      <c r="L228" s="813"/>
      <c r="M228" s="793">
        <f t="shared" si="9"/>
        <v>0</v>
      </c>
      <c r="N228" s="813"/>
      <c r="O228" s="793">
        <f t="shared" si="10"/>
        <v>0</v>
      </c>
      <c r="P228" s="793">
        <f t="shared" si="11"/>
        <v>0</v>
      </c>
    </row>
    <row r="229" spans="3:16">
      <c r="C229" s="789">
        <f>IF(D180="","-",+C228+1)</f>
        <v>2057</v>
      </c>
      <c r="D229" s="737">
        <f t="shared" si="12"/>
        <v>0</v>
      </c>
      <c r="E229" s="790">
        <f t="shared" si="14"/>
        <v>0</v>
      </c>
      <c r="F229" s="790">
        <f t="shared" si="8"/>
        <v>0</v>
      </c>
      <c r="G229" s="737">
        <f t="shared" si="13"/>
        <v>0</v>
      </c>
      <c r="H229" s="795">
        <f>+J181*G229+E229</f>
        <v>0</v>
      </c>
      <c r="I229" s="796">
        <f>+J182*G229+E229</f>
        <v>0</v>
      </c>
      <c r="J229" s="793">
        <f t="shared" si="15"/>
        <v>0</v>
      </c>
      <c r="K229" s="793"/>
      <c r="L229" s="813"/>
      <c r="M229" s="793">
        <f t="shared" si="9"/>
        <v>0</v>
      </c>
      <c r="N229" s="813"/>
      <c r="O229" s="793">
        <f t="shared" si="10"/>
        <v>0</v>
      </c>
      <c r="P229" s="793">
        <f t="shared" si="11"/>
        <v>0</v>
      </c>
    </row>
    <row r="230" spans="3:16">
      <c r="C230" s="789">
        <f>IF(D180="","-",+C229+1)</f>
        <v>2058</v>
      </c>
      <c r="D230" s="737">
        <f t="shared" si="12"/>
        <v>0</v>
      </c>
      <c r="E230" s="790">
        <f t="shared" si="14"/>
        <v>0</v>
      </c>
      <c r="F230" s="790">
        <f t="shared" si="8"/>
        <v>0</v>
      </c>
      <c r="G230" s="737">
        <f t="shared" si="13"/>
        <v>0</v>
      </c>
      <c r="H230" s="795">
        <f>+J181*G230+E230</f>
        <v>0</v>
      </c>
      <c r="I230" s="796">
        <f>+J182*G230+E230</f>
        <v>0</v>
      </c>
      <c r="J230" s="793">
        <f t="shared" si="15"/>
        <v>0</v>
      </c>
      <c r="K230" s="793"/>
      <c r="L230" s="813"/>
      <c r="M230" s="793">
        <f t="shared" si="9"/>
        <v>0</v>
      </c>
      <c r="N230" s="813"/>
      <c r="O230" s="793">
        <f t="shared" si="10"/>
        <v>0</v>
      </c>
      <c r="P230" s="793">
        <f t="shared" si="11"/>
        <v>0</v>
      </c>
    </row>
    <row r="231" spans="3:16">
      <c r="C231" s="789">
        <f>IF(D180="","-",+C230+1)</f>
        <v>2059</v>
      </c>
      <c r="D231" s="737">
        <f t="shared" si="12"/>
        <v>0</v>
      </c>
      <c r="E231" s="790">
        <f t="shared" si="14"/>
        <v>0</v>
      </c>
      <c r="F231" s="790">
        <f t="shared" si="8"/>
        <v>0</v>
      </c>
      <c r="G231" s="737">
        <f t="shared" si="13"/>
        <v>0</v>
      </c>
      <c r="H231" s="795">
        <f>+J181*G231+E231</f>
        <v>0</v>
      </c>
      <c r="I231" s="796">
        <f>+J182*G231+E231</f>
        <v>0</v>
      </c>
      <c r="J231" s="793">
        <f t="shared" si="15"/>
        <v>0</v>
      </c>
      <c r="K231" s="793"/>
      <c r="L231" s="813"/>
      <c r="M231" s="793">
        <f t="shared" si="9"/>
        <v>0</v>
      </c>
      <c r="N231" s="813"/>
      <c r="O231" s="793">
        <f t="shared" si="10"/>
        <v>0</v>
      </c>
      <c r="P231" s="793">
        <f t="shared" si="11"/>
        <v>0</v>
      </c>
    </row>
    <row r="232" spans="3:16">
      <c r="C232" s="789">
        <f>IF(D180="","-",+C231+1)</f>
        <v>2060</v>
      </c>
      <c r="D232" s="737">
        <f t="shared" si="12"/>
        <v>0</v>
      </c>
      <c r="E232" s="790">
        <f t="shared" si="14"/>
        <v>0</v>
      </c>
      <c r="F232" s="790">
        <f t="shared" si="8"/>
        <v>0</v>
      </c>
      <c r="G232" s="737">
        <f t="shared" si="13"/>
        <v>0</v>
      </c>
      <c r="H232" s="795">
        <f>+J181*G232+E232</f>
        <v>0</v>
      </c>
      <c r="I232" s="796">
        <f>+J182*G232+E232</f>
        <v>0</v>
      </c>
      <c r="J232" s="793">
        <f t="shared" si="15"/>
        <v>0</v>
      </c>
      <c r="K232" s="793"/>
      <c r="L232" s="813"/>
      <c r="M232" s="793">
        <f t="shared" si="9"/>
        <v>0</v>
      </c>
      <c r="N232" s="813"/>
      <c r="O232" s="793">
        <f t="shared" si="10"/>
        <v>0</v>
      </c>
      <c r="P232" s="793">
        <f t="shared" si="11"/>
        <v>0</v>
      </c>
    </row>
    <row r="233" spans="3:16">
      <c r="C233" s="789">
        <f>IF(D180="","-",+C232+1)</f>
        <v>2061</v>
      </c>
      <c r="D233" s="737">
        <f t="shared" si="12"/>
        <v>0</v>
      </c>
      <c r="E233" s="790">
        <f t="shared" si="14"/>
        <v>0</v>
      </c>
      <c r="F233" s="790">
        <f t="shared" si="8"/>
        <v>0</v>
      </c>
      <c r="G233" s="737">
        <f t="shared" si="13"/>
        <v>0</v>
      </c>
      <c r="H233" s="795">
        <f>+J181*G233+E233</f>
        <v>0</v>
      </c>
      <c r="I233" s="796">
        <f>+J182*G233+E233</f>
        <v>0</v>
      </c>
      <c r="J233" s="793">
        <f t="shared" si="15"/>
        <v>0</v>
      </c>
      <c r="K233" s="793"/>
      <c r="L233" s="813"/>
      <c r="M233" s="793">
        <f t="shared" si="9"/>
        <v>0</v>
      </c>
      <c r="N233" s="813"/>
      <c r="O233" s="793">
        <f t="shared" si="10"/>
        <v>0</v>
      </c>
      <c r="P233" s="793">
        <f t="shared" si="11"/>
        <v>0</v>
      </c>
    </row>
    <row r="234" spans="3:16">
      <c r="C234" s="789">
        <f>IF(D180="","-",+C233+1)</f>
        <v>2062</v>
      </c>
      <c r="D234" s="737">
        <f t="shared" si="12"/>
        <v>0</v>
      </c>
      <c r="E234" s="790">
        <f t="shared" si="14"/>
        <v>0</v>
      </c>
      <c r="F234" s="790">
        <f t="shared" si="8"/>
        <v>0</v>
      </c>
      <c r="G234" s="737">
        <f t="shared" si="13"/>
        <v>0</v>
      </c>
      <c r="H234" s="795">
        <f>+J181*G234+E234</f>
        <v>0</v>
      </c>
      <c r="I234" s="796">
        <f>+J182*G234+E234</f>
        <v>0</v>
      </c>
      <c r="J234" s="793">
        <f t="shared" si="15"/>
        <v>0</v>
      </c>
      <c r="K234" s="793"/>
      <c r="L234" s="813"/>
      <c r="M234" s="793">
        <f t="shared" si="9"/>
        <v>0</v>
      </c>
      <c r="N234" s="813"/>
      <c r="O234" s="793">
        <f t="shared" si="10"/>
        <v>0</v>
      </c>
      <c r="P234" s="793">
        <f t="shared" si="11"/>
        <v>0</v>
      </c>
    </row>
    <row r="235" spans="3:16">
      <c r="C235" s="789">
        <f>IF(D180="","-",+C234+1)</f>
        <v>2063</v>
      </c>
      <c r="D235" s="737">
        <f t="shared" si="12"/>
        <v>0</v>
      </c>
      <c r="E235" s="790">
        <f t="shared" si="14"/>
        <v>0</v>
      </c>
      <c r="F235" s="790">
        <f t="shared" si="8"/>
        <v>0</v>
      </c>
      <c r="G235" s="737">
        <f t="shared" si="13"/>
        <v>0</v>
      </c>
      <c r="H235" s="795">
        <f>+J181*G235+E235</f>
        <v>0</v>
      </c>
      <c r="I235" s="796">
        <f>+J182*G235+E235</f>
        <v>0</v>
      </c>
      <c r="J235" s="793">
        <f t="shared" si="15"/>
        <v>0</v>
      </c>
      <c r="K235" s="793"/>
      <c r="L235" s="813"/>
      <c r="M235" s="793">
        <f t="shared" si="9"/>
        <v>0</v>
      </c>
      <c r="N235" s="813"/>
      <c r="O235" s="793">
        <f t="shared" si="10"/>
        <v>0</v>
      </c>
      <c r="P235" s="793">
        <f t="shared" si="11"/>
        <v>0</v>
      </c>
    </row>
    <row r="236" spans="3:16">
      <c r="C236" s="789">
        <f>IF(D180="","-",+C235+1)</f>
        <v>2064</v>
      </c>
      <c r="D236" s="737">
        <f t="shared" si="12"/>
        <v>0</v>
      </c>
      <c r="E236" s="790">
        <f t="shared" si="14"/>
        <v>0</v>
      </c>
      <c r="F236" s="790">
        <f t="shared" si="8"/>
        <v>0</v>
      </c>
      <c r="G236" s="737">
        <f t="shared" si="13"/>
        <v>0</v>
      </c>
      <c r="H236" s="795">
        <f>+J181*G236+E236</f>
        <v>0</v>
      </c>
      <c r="I236" s="796">
        <f>+J182*G236+E236</f>
        <v>0</v>
      </c>
      <c r="J236" s="793">
        <f t="shared" si="15"/>
        <v>0</v>
      </c>
      <c r="K236" s="793"/>
      <c r="L236" s="813"/>
      <c r="M236" s="793">
        <f t="shared" si="9"/>
        <v>0</v>
      </c>
      <c r="N236" s="813"/>
      <c r="O236" s="793">
        <f t="shared" si="10"/>
        <v>0</v>
      </c>
      <c r="P236" s="793">
        <f t="shared" si="11"/>
        <v>0</v>
      </c>
    </row>
    <row r="237" spans="3:16">
      <c r="C237" s="789">
        <f>IF(D180="","-",+C236+1)</f>
        <v>2065</v>
      </c>
      <c r="D237" s="737">
        <f t="shared" si="12"/>
        <v>0</v>
      </c>
      <c r="E237" s="790">
        <f t="shared" si="14"/>
        <v>0</v>
      </c>
      <c r="F237" s="790">
        <f t="shared" si="8"/>
        <v>0</v>
      </c>
      <c r="G237" s="737">
        <f t="shared" si="13"/>
        <v>0</v>
      </c>
      <c r="H237" s="795">
        <f>+J181*G237+E237</f>
        <v>0</v>
      </c>
      <c r="I237" s="796">
        <f>+J182*G237+E237</f>
        <v>0</v>
      </c>
      <c r="J237" s="793">
        <f t="shared" si="15"/>
        <v>0</v>
      </c>
      <c r="K237" s="793"/>
      <c r="L237" s="813"/>
      <c r="M237" s="793">
        <f t="shared" si="9"/>
        <v>0</v>
      </c>
      <c r="N237" s="813"/>
      <c r="O237" s="793">
        <f t="shared" si="10"/>
        <v>0</v>
      </c>
      <c r="P237" s="793">
        <f t="shared" si="11"/>
        <v>0</v>
      </c>
    </row>
    <row r="238" spans="3:16">
      <c r="C238" s="789">
        <f>IF(D180="","-",+C237+1)</f>
        <v>2066</v>
      </c>
      <c r="D238" s="737">
        <f t="shared" si="12"/>
        <v>0</v>
      </c>
      <c r="E238" s="790">
        <f t="shared" si="14"/>
        <v>0</v>
      </c>
      <c r="F238" s="790">
        <f t="shared" si="8"/>
        <v>0</v>
      </c>
      <c r="G238" s="737">
        <f t="shared" si="13"/>
        <v>0</v>
      </c>
      <c r="H238" s="795">
        <f>+J181*G238+E238</f>
        <v>0</v>
      </c>
      <c r="I238" s="796">
        <f>+J182*G238+E238</f>
        <v>0</v>
      </c>
      <c r="J238" s="793">
        <f t="shared" si="15"/>
        <v>0</v>
      </c>
      <c r="K238" s="793"/>
      <c r="L238" s="813"/>
      <c r="M238" s="793">
        <f t="shared" si="9"/>
        <v>0</v>
      </c>
      <c r="N238" s="813"/>
      <c r="O238" s="793">
        <f t="shared" si="10"/>
        <v>0</v>
      </c>
      <c r="P238" s="793">
        <f t="shared" si="11"/>
        <v>0</v>
      </c>
    </row>
    <row r="239" spans="3:16">
      <c r="C239" s="789">
        <f>IF(D180="","-",+C238+1)</f>
        <v>2067</v>
      </c>
      <c r="D239" s="737">
        <f t="shared" si="12"/>
        <v>0</v>
      </c>
      <c r="E239" s="790">
        <f t="shared" si="14"/>
        <v>0</v>
      </c>
      <c r="F239" s="790">
        <f t="shared" si="8"/>
        <v>0</v>
      </c>
      <c r="G239" s="737">
        <f t="shared" si="13"/>
        <v>0</v>
      </c>
      <c r="H239" s="795">
        <f>+J181*G239+E239</f>
        <v>0</v>
      </c>
      <c r="I239" s="796">
        <f>+J182*G239+E239</f>
        <v>0</v>
      </c>
      <c r="J239" s="793">
        <f t="shared" si="15"/>
        <v>0</v>
      </c>
      <c r="K239" s="793"/>
      <c r="L239" s="813"/>
      <c r="M239" s="793">
        <f t="shared" si="9"/>
        <v>0</v>
      </c>
      <c r="N239" s="813"/>
      <c r="O239" s="793">
        <f t="shared" si="10"/>
        <v>0</v>
      </c>
      <c r="P239" s="793">
        <f t="shared" si="11"/>
        <v>0</v>
      </c>
    </row>
    <row r="240" spans="3:16">
      <c r="C240" s="789">
        <f>IF(D180="","-",+C239+1)</f>
        <v>2068</v>
      </c>
      <c r="D240" s="737">
        <f t="shared" ref="D240:D245" si="16">F239</f>
        <v>0</v>
      </c>
      <c r="E240" s="790">
        <f t="shared" si="14"/>
        <v>0</v>
      </c>
      <c r="F240" s="790">
        <f t="shared" si="8"/>
        <v>0</v>
      </c>
      <c r="G240" s="737">
        <f t="shared" si="13"/>
        <v>0</v>
      </c>
      <c r="H240" s="795">
        <f>+J181*G240+E240</f>
        <v>0</v>
      </c>
      <c r="I240" s="796">
        <f>+J182*G240+E240</f>
        <v>0</v>
      </c>
      <c r="J240" s="793">
        <f t="shared" si="15"/>
        <v>0</v>
      </c>
      <c r="K240" s="793"/>
      <c r="L240" s="813"/>
      <c r="M240" s="793">
        <f t="shared" si="9"/>
        <v>0</v>
      </c>
      <c r="N240" s="813"/>
      <c r="O240" s="793">
        <f t="shared" si="10"/>
        <v>0</v>
      </c>
      <c r="P240" s="793">
        <f t="shared" si="11"/>
        <v>0</v>
      </c>
    </row>
    <row r="241" spans="1:17">
      <c r="C241" s="789">
        <f>IF(D180="","-",+C240+1)</f>
        <v>2069</v>
      </c>
      <c r="D241" s="737">
        <f t="shared" si="16"/>
        <v>0</v>
      </c>
      <c r="E241" s="790">
        <f t="shared" si="14"/>
        <v>0</v>
      </c>
      <c r="F241" s="790">
        <f t="shared" si="8"/>
        <v>0</v>
      </c>
      <c r="G241" s="737">
        <f t="shared" si="13"/>
        <v>0</v>
      </c>
      <c r="H241" s="795">
        <f>+J181*G241+E241</f>
        <v>0</v>
      </c>
      <c r="I241" s="796">
        <f>+J182*G241+E241</f>
        <v>0</v>
      </c>
      <c r="J241" s="793">
        <f t="shared" si="15"/>
        <v>0</v>
      </c>
      <c r="K241" s="793"/>
      <c r="L241" s="813"/>
      <c r="M241" s="793">
        <f t="shared" si="9"/>
        <v>0</v>
      </c>
      <c r="N241" s="813"/>
      <c r="O241" s="793">
        <f t="shared" si="10"/>
        <v>0</v>
      </c>
      <c r="P241" s="793">
        <f t="shared" si="11"/>
        <v>0</v>
      </c>
    </row>
    <row r="242" spans="1:17">
      <c r="C242" s="789">
        <f>IF(D180="","-",+C241+1)</f>
        <v>2070</v>
      </c>
      <c r="D242" s="737">
        <f t="shared" si="16"/>
        <v>0</v>
      </c>
      <c r="E242" s="790">
        <f t="shared" si="14"/>
        <v>0</v>
      </c>
      <c r="F242" s="790">
        <f t="shared" si="8"/>
        <v>0</v>
      </c>
      <c r="G242" s="737">
        <f t="shared" si="13"/>
        <v>0</v>
      </c>
      <c r="H242" s="795">
        <f>+J181*G242+E242</f>
        <v>0</v>
      </c>
      <c r="I242" s="796">
        <f>+J182*G242+E242</f>
        <v>0</v>
      </c>
      <c r="J242" s="793">
        <f t="shared" si="15"/>
        <v>0</v>
      </c>
      <c r="K242" s="793"/>
      <c r="L242" s="813"/>
      <c r="M242" s="793">
        <f t="shared" si="9"/>
        <v>0</v>
      </c>
      <c r="N242" s="813"/>
      <c r="O242" s="793">
        <f t="shared" si="10"/>
        <v>0</v>
      </c>
      <c r="P242" s="793">
        <f t="shared" si="11"/>
        <v>0</v>
      </c>
    </row>
    <row r="243" spans="1:17">
      <c r="C243" s="789">
        <f>IF(D180="","-",+C242+1)</f>
        <v>2071</v>
      </c>
      <c r="D243" s="737">
        <f t="shared" si="16"/>
        <v>0</v>
      </c>
      <c r="E243" s="790">
        <f t="shared" si="14"/>
        <v>0</v>
      </c>
      <c r="F243" s="790">
        <f t="shared" si="8"/>
        <v>0</v>
      </c>
      <c r="G243" s="737">
        <f t="shared" si="13"/>
        <v>0</v>
      </c>
      <c r="H243" s="795">
        <f>+J181*G243+E243</f>
        <v>0</v>
      </c>
      <c r="I243" s="796">
        <f>+J182*G243+E243</f>
        <v>0</v>
      </c>
      <c r="J243" s="793">
        <f t="shared" si="15"/>
        <v>0</v>
      </c>
      <c r="K243" s="793"/>
      <c r="L243" s="813"/>
      <c r="M243" s="793">
        <f t="shared" si="9"/>
        <v>0</v>
      </c>
      <c r="N243" s="813"/>
      <c r="O243" s="793">
        <f t="shared" si="10"/>
        <v>0</v>
      </c>
      <c r="P243" s="793">
        <f t="shared" si="11"/>
        <v>0</v>
      </c>
    </row>
    <row r="244" spans="1:17">
      <c r="C244" s="789">
        <f>IF(D180="","-",+C243+1)</f>
        <v>2072</v>
      </c>
      <c r="D244" s="737">
        <f t="shared" si="16"/>
        <v>0</v>
      </c>
      <c r="E244" s="790">
        <f t="shared" si="14"/>
        <v>0</v>
      </c>
      <c r="F244" s="790">
        <f t="shared" si="8"/>
        <v>0</v>
      </c>
      <c r="G244" s="737">
        <f t="shared" si="13"/>
        <v>0</v>
      </c>
      <c r="H244" s="795">
        <f>+J181*G244+E244</f>
        <v>0</v>
      </c>
      <c r="I244" s="796">
        <f>+J182*G244+E244</f>
        <v>0</v>
      </c>
      <c r="J244" s="793">
        <f t="shared" si="15"/>
        <v>0</v>
      </c>
      <c r="K244" s="793"/>
      <c r="L244" s="813"/>
      <c r="M244" s="793">
        <f t="shared" si="9"/>
        <v>0</v>
      </c>
      <c r="N244" s="813"/>
      <c r="O244" s="793">
        <f t="shared" si="10"/>
        <v>0</v>
      </c>
      <c r="P244" s="793">
        <f t="shared" si="11"/>
        <v>0</v>
      </c>
    </row>
    <row r="245" spans="1:17" ht="13.5" thickBot="1">
      <c r="C245" s="799">
        <f>IF(D180="","-",+C244+1)</f>
        <v>2073</v>
      </c>
      <c r="D245" s="800">
        <f t="shared" si="16"/>
        <v>0</v>
      </c>
      <c r="E245" s="801">
        <f t="shared" si="14"/>
        <v>0</v>
      </c>
      <c r="F245" s="801">
        <f t="shared" si="8"/>
        <v>0</v>
      </c>
      <c r="G245" s="800">
        <f t="shared" si="13"/>
        <v>0</v>
      </c>
      <c r="H245" s="802">
        <f>+J181*G245+E245</f>
        <v>0</v>
      </c>
      <c r="I245" s="802">
        <f>+J182*G245+E245</f>
        <v>0</v>
      </c>
      <c r="J245" s="803">
        <f t="shared" si="15"/>
        <v>0</v>
      </c>
      <c r="K245" s="793"/>
      <c r="L245" s="814"/>
      <c r="M245" s="803">
        <f t="shared" si="9"/>
        <v>0</v>
      </c>
      <c r="N245" s="814"/>
      <c r="O245" s="803">
        <f t="shared" si="10"/>
        <v>0</v>
      </c>
      <c r="P245" s="803">
        <f t="shared" si="11"/>
        <v>0</v>
      </c>
    </row>
    <row r="246" spans="1:17">
      <c r="C246" s="737" t="s">
        <v>83</v>
      </c>
      <c r="D246" s="731"/>
      <c r="E246" s="731">
        <f>SUM(E186:E245)</f>
        <v>85102119.760000005</v>
      </c>
      <c r="F246" s="731"/>
      <c r="G246" s="731"/>
      <c r="H246" s="731">
        <f>SUM(H186:H245)</f>
        <v>285578470.78213567</v>
      </c>
      <c r="I246" s="731">
        <f>SUM(I186:I245)</f>
        <v>285578470.78213567</v>
      </c>
      <c r="J246" s="731">
        <f>SUM(J186:J245)</f>
        <v>0</v>
      </c>
      <c r="K246" s="731"/>
      <c r="L246" s="731"/>
      <c r="M246" s="731"/>
      <c r="N246" s="731"/>
      <c r="O246" s="731"/>
    </row>
    <row r="247" spans="1:17">
      <c r="D247" s="539"/>
      <c r="E247" s="314"/>
      <c r="F247" s="314"/>
      <c r="G247" s="314"/>
      <c r="H247" s="314"/>
      <c r="I247" s="709"/>
      <c r="J247" s="709"/>
      <c r="K247" s="731"/>
      <c r="L247" s="709"/>
      <c r="M247" s="709"/>
      <c r="N247" s="709"/>
      <c r="O247" s="709"/>
    </row>
    <row r="248" spans="1:17">
      <c r="C248" s="314" t="s">
        <v>13</v>
      </c>
      <c r="D248" s="539"/>
      <c r="E248" s="314"/>
      <c r="F248" s="314"/>
      <c r="G248" s="314"/>
      <c r="H248" s="314"/>
      <c r="I248" s="709"/>
      <c r="J248" s="709"/>
      <c r="K248" s="731"/>
      <c r="L248" s="709"/>
      <c r="M248" s="709"/>
      <c r="N248" s="709"/>
      <c r="O248" s="709"/>
    </row>
    <row r="249" spans="1:17">
      <c r="C249" s="314"/>
      <c r="D249" s="539"/>
      <c r="E249" s="314"/>
      <c r="F249" s="314"/>
      <c r="G249" s="314"/>
      <c r="H249" s="314"/>
      <c r="I249" s="709"/>
      <c r="J249" s="709"/>
      <c r="K249" s="731"/>
      <c r="L249" s="709"/>
      <c r="M249" s="709"/>
      <c r="N249" s="709"/>
      <c r="O249" s="709"/>
    </row>
    <row r="250" spans="1:17">
      <c r="C250" s="750" t="s">
        <v>14</v>
      </c>
      <c r="D250" s="737"/>
      <c r="E250" s="737"/>
      <c r="F250" s="737"/>
      <c r="G250" s="737"/>
      <c r="H250" s="731"/>
      <c r="I250" s="731"/>
      <c r="J250" s="805"/>
      <c r="K250" s="805"/>
      <c r="L250" s="805"/>
      <c r="M250" s="805"/>
      <c r="N250" s="805"/>
      <c r="O250" s="805"/>
    </row>
    <row r="251" spans="1:17">
      <c r="C251" s="736" t="s">
        <v>263</v>
      </c>
      <c r="D251" s="737"/>
      <c r="E251" s="737"/>
      <c r="F251" s="737"/>
      <c r="G251" s="737"/>
      <c r="H251" s="731"/>
      <c r="I251" s="731"/>
      <c r="J251" s="805"/>
      <c r="K251" s="805"/>
      <c r="L251" s="805"/>
      <c r="M251" s="805"/>
      <c r="N251" s="805"/>
      <c r="O251" s="805"/>
    </row>
    <row r="252" spans="1:17">
      <c r="C252" s="736" t="s">
        <v>84</v>
      </c>
      <c r="D252" s="737"/>
      <c r="E252" s="737"/>
      <c r="F252" s="737"/>
      <c r="G252" s="737"/>
      <c r="H252" s="731"/>
      <c r="I252" s="731"/>
      <c r="J252" s="805"/>
      <c r="K252" s="805"/>
      <c r="L252" s="805"/>
      <c r="M252" s="805"/>
      <c r="N252" s="805"/>
      <c r="O252" s="805"/>
    </row>
    <row r="254" spans="1:17" ht="20.25">
      <c r="A254" s="738" t="str">
        <f>""&amp;A179&amp;" Worksheet K -  ATRR TRUE-UP Calculation for PJM Projects Charged to Benefiting Zones"</f>
        <v xml:space="preserve"> Worksheet K -  ATRR TRUE-UP Calculation for PJM Projects Charged to Benefiting Zones</v>
      </c>
      <c r="B254" s="348"/>
      <c r="C254" s="726"/>
      <c r="D254" s="539"/>
      <c r="E254" s="314"/>
      <c r="F254" s="708"/>
      <c r="G254" s="708"/>
      <c r="H254" s="314"/>
      <c r="I254" s="709"/>
      <c r="L254" s="565"/>
      <c r="M254" s="565"/>
      <c r="N254" s="565"/>
      <c r="O254" s="654" t="str">
        <f>"Page "&amp;SUM(Q$8:Q254)&amp;" of "</f>
        <v xml:space="preserve">Page 4 of </v>
      </c>
      <c r="P254" s="655">
        <f>COUNT(Q$8:Q$57702)</f>
        <v>12</v>
      </c>
      <c r="Q254" s="739">
        <v>1</v>
      </c>
    </row>
    <row r="255" spans="1:17">
      <c r="B255" s="348"/>
      <c r="C255" s="314"/>
      <c r="D255" s="539"/>
      <c r="E255" s="314"/>
      <c r="F255" s="314"/>
      <c r="G255" s="314"/>
      <c r="H255" s="314"/>
      <c r="I255" s="709"/>
      <c r="J255" s="314"/>
      <c r="K255" s="427"/>
    </row>
    <row r="256" spans="1:17" ht="18">
      <c r="B256" s="658" t="s">
        <v>466</v>
      </c>
      <c r="C256" s="740" t="s">
        <v>85</v>
      </c>
      <c r="D256" s="539"/>
      <c r="E256" s="314"/>
      <c r="F256" s="314"/>
      <c r="G256" s="314"/>
      <c r="H256" s="314"/>
      <c r="I256" s="709"/>
      <c r="J256" s="709"/>
      <c r="K256" s="731"/>
      <c r="L256" s="709"/>
      <c r="M256" s="709"/>
      <c r="N256" s="709"/>
      <c r="O256" s="709"/>
    </row>
    <row r="257" spans="2:16" ht="18.75">
      <c r="B257" s="658"/>
      <c r="C257" s="657"/>
      <c r="D257" s="539"/>
      <c r="E257" s="314"/>
      <c r="F257" s="314"/>
      <c r="G257" s="314"/>
      <c r="H257" s="314"/>
      <c r="I257" s="709"/>
      <c r="J257" s="709"/>
      <c r="K257" s="731"/>
      <c r="L257" s="709"/>
      <c r="M257" s="709"/>
      <c r="N257" s="709"/>
      <c r="O257" s="709"/>
    </row>
    <row r="258" spans="2:16" ht="18.75">
      <c r="B258" s="658"/>
      <c r="C258" s="657" t="s">
        <v>86</v>
      </c>
      <c r="D258" s="539"/>
      <c r="E258" s="314"/>
      <c r="F258" s="314"/>
      <c r="G258" s="314"/>
      <c r="H258" s="314"/>
      <c r="I258" s="709"/>
      <c r="J258" s="709"/>
      <c r="K258" s="731"/>
      <c r="L258" s="709"/>
      <c r="M258" s="709"/>
      <c r="N258" s="709"/>
      <c r="O258" s="709"/>
    </row>
    <row r="259" spans="2:16" ht="15.75" thickBot="1">
      <c r="C259" s="240"/>
      <c r="D259" s="539"/>
      <c r="E259" s="314"/>
      <c r="F259" s="314"/>
      <c r="G259" s="314"/>
      <c r="H259" s="314"/>
      <c r="I259" s="709"/>
      <c r="J259" s="709"/>
      <c r="K259" s="731"/>
      <c r="L259" s="709"/>
      <c r="M259" s="709"/>
      <c r="N259" s="709"/>
      <c r="O259" s="709"/>
    </row>
    <row r="260" spans="2:16" ht="15.75">
      <c r="C260" s="660" t="s">
        <v>87</v>
      </c>
      <c r="D260" s="539"/>
      <c r="E260" s="314"/>
      <c r="F260" s="314"/>
      <c r="G260" s="314"/>
      <c r="H260" s="807"/>
      <c r="I260" s="314" t="s">
        <v>66</v>
      </c>
      <c r="J260" s="314"/>
      <c r="K260" s="427"/>
      <c r="L260" s="836">
        <f>+J266</f>
        <v>2022</v>
      </c>
      <c r="M260" s="817" t="s">
        <v>45</v>
      </c>
      <c r="N260" s="817" t="s">
        <v>46</v>
      </c>
      <c r="O260" s="818" t="s">
        <v>47</v>
      </c>
    </row>
    <row r="261" spans="2:16" ht="15.75">
      <c r="C261" s="660"/>
      <c r="D261" s="539"/>
      <c r="E261" s="314"/>
      <c r="F261" s="314"/>
      <c r="H261" s="314"/>
      <c r="I261" s="745"/>
      <c r="J261" s="745"/>
      <c r="K261" s="746"/>
      <c r="L261" s="837" t="s">
        <v>235</v>
      </c>
      <c r="M261" s="838">
        <f>VLOOKUP(J266,C273:P332,10)</f>
        <v>2221483.4104371248</v>
      </c>
      <c r="N261" s="838">
        <f>VLOOKUP(J266,C273:P332,12)</f>
        <v>2221483.4104371248</v>
      </c>
      <c r="O261" s="839">
        <f>+N261-M261</f>
        <v>0</v>
      </c>
    </row>
    <row r="262" spans="2:16" ht="12.95" customHeight="1">
      <c r="C262" s="750" t="s">
        <v>88</v>
      </c>
      <c r="D262" s="1567" t="s">
        <v>813</v>
      </c>
      <c r="E262" s="1567"/>
      <c r="F262" s="1567"/>
      <c r="G262" s="1567"/>
      <c r="H262" s="1567"/>
      <c r="I262" s="1567"/>
      <c r="J262" s="709"/>
      <c r="K262" s="731"/>
      <c r="L262" s="837" t="s">
        <v>236</v>
      </c>
      <c r="M262" s="840">
        <f>VLOOKUP(J266,C273:P332,6)</f>
        <v>2260139.7284815321</v>
      </c>
      <c r="N262" s="840">
        <f>VLOOKUP(J266,C273:P332,7)</f>
        <v>2260139.7284815321</v>
      </c>
      <c r="O262" s="841">
        <f>+N262-M262</f>
        <v>0</v>
      </c>
    </row>
    <row r="263" spans="2:16" ht="13.5" thickBot="1">
      <c r="C263" s="754"/>
      <c r="D263" s="755"/>
      <c r="E263" s="735"/>
      <c r="F263" s="735"/>
      <c r="G263" s="735"/>
      <c r="H263" s="756"/>
      <c r="I263" s="709"/>
      <c r="J263" s="709"/>
      <c r="K263" s="731"/>
      <c r="L263" s="773" t="s">
        <v>237</v>
      </c>
      <c r="M263" s="842">
        <f>+M262-M261</f>
        <v>38656.318044407293</v>
      </c>
      <c r="N263" s="842">
        <f>+N262-N261</f>
        <v>38656.318044407293</v>
      </c>
      <c r="O263" s="843">
        <f>+O262-O261</f>
        <v>0</v>
      </c>
    </row>
    <row r="264" spans="2:16" ht="13.5" thickBot="1">
      <c r="C264" s="757"/>
      <c r="D264" s="758"/>
      <c r="E264" s="756"/>
      <c r="F264" s="756"/>
      <c r="G264" s="756"/>
      <c r="H264" s="756"/>
      <c r="I264" s="756"/>
      <c r="J264" s="756"/>
      <c r="K264" s="759"/>
      <c r="L264" s="756"/>
      <c r="M264" s="756"/>
      <c r="N264" s="756"/>
      <c r="O264" s="756"/>
      <c r="P264" s="348"/>
    </row>
    <row r="265" spans="2:16" ht="13.5" thickBot="1">
      <c r="C265" s="760" t="s">
        <v>89</v>
      </c>
      <c r="D265" s="761"/>
      <c r="E265" s="761"/>
      <c r="F265" s="761"/>
      <c r="G265" s="761"/>
      <c r="H265" s="761"/>
      <c r="I265" s="761"/>
      <c r="J265" s="761"/>
      <c r="K265" s="763"/>
      <c r="P265" s="764"/>
    </row>
    <row r="266" spans="2:16" ht="15">
      <c r="C266" s="765" t="s">
        <v>67</v>
      </c>
      <c r="D266" s="809">
        <v>19597955.440000001</v>
      </c>
      <c r="E266" s="726" t="s">
        <v>68</v>
      </c>
      <c r="H266" s="766"/>
      <c r="I266" s="766"/>
      <c r="J266" s="767">
        <f>$J$93</f>
        <v>2022</v>
      </c>
      <c r="K266" s="555"/>
      <c r="L266" s="1569" t="s">
        <v>69</v>
      </c>
      <c r="M266" s="1569"/>
      <c r="N266" s="1569"/>
      <c r="O266" s="1569"/>
      <c r="P266" s="427"/>
    </row>
    <row r="267" spans="2:16">
      <c r="C267" s="765" t="s">
        <v>70</v>
      </c>
      <c r="D267" s="810">
        <v>2014</v>
      </c>
      <c r="E267" s="765" t="s">
        <v>71</v>
      </c>
      <c r="F267" s="766"/>
      <c r="G267" s="766"/>
      <c r="I267" s="173"/>
      <c r="J267" s="811">
        <f>IF(H260="",0,$F$17)</f>
        <v>0</v>
      </c>
      <c r="K267" s="768"/>
      <c r="L267" s="731" t="s">
        <v>277</v>
      </c>
      <c r="P267" s="427"/>
    </row>
    <row r="268" spans="2:16">
      <c r="C268" s="765" t="s">
        <v>72</v>
      </c>
      <c r="D268" s="809">
        <v>12</v>
      </c>
      <c r="E268" s="765" t="s">
        <v>73</v>
      </c>
      <c r="F268" s="766"/>
      <c r="G268" s="766"/>
      <c r="I268" s="173"/>
      <c r="J268" s="769">
        <f>$F$70</f>
        <v>0.11129362813814259</v>
      </c>
      <c r="K268" s="770"/>
      <c r="L268" s="314" t="str">
        <f>"          INPUT TRUE-UP ARR (WITH &amp; WITHOUT INCENTIVES) FROM EACH PRIOR YEAR"</f>
        <v xml:space="preserve">          INPUT TRUE-UP ARR (WITH &amp; WITHOUT INCENTIVES) FROM EACH PRIOR YEAR</v>
      </c>
      <c r="P268" s="427"/>
    </row>
    <row r="269" spans="2:16">
      <c r="C269" s="765" t="s">
        <v>74</v>
      </c>
      <c r="D269" s="771">
        <f>H$79</f>
        <v>41</v>
      </c>
      <c r="E269" s="765" t="s">
        <v>75</v>
      </c>
      <c r="F269" s="766"/>
      <c r="G269" s="766"/>
      <c r="I269" s="173"/>
      <c r="J269" s="769">
        <f>IF(H260="",+J268,$F$69)</f>
        <v>0.11129362813814259</v>
      </c>
      <c r="K269" s="772"/>
      <c r="L269" s="314" t="s">
        <v>157</v>
      </c>
      <c r="M269" s="772"/>
      <c r="N269" s="772"/>
      <c r="O269" s="772"/>
      <c r="P269" s="427"/>
    </row>
    <row r="270" spans="2:16" ht="13.5" thickBot="1">
      <c r="C270" s="765" t="s">
        <v>76</v>
      </c>
      <c r="D270" s="808" t="s">
        <v>811</v>
      </c>
      <c r="E270" s="773" t="s">
        <v>77</v>
      </c>
      <c r="F270" s="774"/>
      <c r="G270" s="774"/>
      <c r="H270" s="775"/>
      <c r="I270" s="775"/>
      <c r="J270" s="753">
        <f>IF(D266=0,0,D266/D269)</f>
        <v>477998.91317073174</v>
      </c>
      <c r="K270" s="731"/>
      <c r="L270" s="731" t="s">
        <v>158</v>
      </c>
      <c r="M270" s="731"/>
      <c r="N270" s="731"/>
      <c r="O270" s="731"/>
      <c r="P270" s="427"/>
    </row>
    <row r="271" spans="2:16" ht="38.25">
      <c r="B271" s="846"/>
      <c r="C271" s="776" t="s">
        <v>67</v>
      </c>
      <c r="D271" s="777" t="s">
        <v>78</v>
      </c>
      <c r="E271" s="778" t="s">
        <v>79</v>
      </c>
      <c r="F271" s="777" t="s">
        <v>80</v>
      </c>
      <c r="G271" s="777" t="s">
        <v>238</v>
      </c>
      <c r="H271" s="778" t="s">
        <v>151</v>
      </c>
      <c r="I271" s="779" t="s">
        <v>151</v>
      </c>
      <c r="J271" s="776" t="s">
        <v>90</v>
      </c>
      <c r="K271" s="780"/>
      <c r="L271" s="778" t="s">
        <v>153</v>
      </c>
      <c r="M271" s="778" t="s">
        <v>159</v>
      </c>
      <c r="N271" s="778" t="s">
        <v>153</v>
      </c>
      <c r="O271" s="778" t="s">
        <v>161</v>
      </c>
      <c r="P271" s="778" t="s">
        <v>81</v>
      </c>
    </row>
    <row r="272" spans="2:16" ht="13.5" thickBot="1">
      <c r="C272" s="782" t="s">
        <v>469</v>
      </c>
      <c r="D272" s="783" t="s">
        <v>470</v>
      </c>
      <c r="E272" s="782" t="s">
        <v>363</v>
      </c>
      <c r="F272" s="783" t="s">
        <v>470</v>
      </c>
      <c r="G272" s="783" t="s">
        <v>470</v>
      </c>
      <c r="H272" s="784" t="s">
        <v>93</v>
      </c>
      <c r="I272" s="785" t="s">
        <v>95</v>
      </c>
      <c r="J272" s="786" t="s">
        <v>15</v>
      </c>
      <c r="K272" s="787"/>
      <c r="L272" s="784" t="s">
        <v>82</v>
      </c>
      <c r="M272" s="784" t="s">
        <v>82</v>
      </c>
      <c r="N272" s="784" t="s">
        <v>255</v>
      </c>
      <c r="O272" s="784" t="s">
        <v>255</v>
      </c>
      <c r="P272" s="784" t="s">
        <v>255</v>
      </c>
    </row>
    <row r="273" spans="3:16">
      <c r="C273" s="789">
        <f>IF(D267= "","-",D267)</f>
        <v>2014</v>
      </c>
      <c r="D273" s="737">
        <f>+D266</f>
        <v>19597955.440000001</v>
      </c>
      <c r="E273" s="795">
        <f>+J270/12*(12-D268)</f>
        <v>0</v>
      </c>
      <c r="F273" s="844">
        <f t="shared" ref="F273:F332" si="17">+D273-E273</f>
        <v>19597955.440000001</v>
      </c>
      <c r="G273" s="737">
        <f>+(D273+F273)/2</f>
        <v>19597955.440000001</v>
      </c>
      <c r="H273" s="791">
        <f>+J268*G273+E273</f>
        <v>2181127.5650072489</v>
      </c>
      <c r="I273" s="792">
        <f>+J269*G273+E273</f>
        <v>2181127.5650072489</v>
      </c>
      <c r="J273" s="793">
        <f>+I273-H273</f>
        <v>0</v>
      </c>
      <c r="K273" s="793"/>
      <c r="L273" s="812">
        <v>2093479</v>
      </c>
      <c r="M273" s="845">
        <f t="shared" ref="M273:M332" si="18">IF(L273&lt;&gt;0,+H273-L273,0)</f>
        <v>87648.565007248893</v>
      </c>
      <c r="N273" s="812">
        <v>2093479</v>
      </c>
      <c r="O273" s="845">
        <f t="shared" ref="O273:O332" si="19">IF(N273&lt;&gt;0,+I273-N273,0)</f>
        <v>87648.565007248893</v>
      </c>
      <c r="P273" s="845">
        <f t="shared" ref="P273:P332" si="20">+O273-M273</f>
        <v>0</v>
      </c>
    </row>
    <row r="274" spans="3:16">
      <c r="C274" s="789">
        <f>IF(D267="","-",+C273+1)</f>
        <v>2015</v>
      </c>
      <c r="D274" s="737">
        <f t="shared" ref="D274:D326" si="21">F273</f>
        <v>19597955.440000001</v>
      </c>
      <c r="E274" s="790">
        <f>IF(D274&gt;$J$270,$J$270,D274)</f>
        <v>477998.91317073174</v>
      </c>
      <c r="F274" s="790">
        <f t="shared" si="17"/>
        <v>19119956.526829269</v>
      </c>
      <c r="G274" s="737">
        <f t="shared" ref="G274:G332" si="22">+(D274+F274)/2</f>
        <v>19358955.983414635</v>
      </c>
      <c r="H274" s="795">
        <f>+J268*G274+E274</f>
        <v>2632527.3615315505</v>
      </c>
      <c r="I274" s="796">
        <f>+J269*G274+E274</f>
        <v>2632527.3615315505</v>
      </c>
      <c r="J274" s="793">
        <f>+I274-H274</f>
        <v>0</v>
      </c>
      <c r="K274" s="793"/>
      <c r="L274" s="813">
        <v>2304583</v>
      </c>
      <c r="M274" s="793">
        <f t="shared" si="18"/>
        <v>327944.36153155053</v>
      </c>
      <c r="N274" s="813">
        <v>2304583</v>
      </c>
      <c r="O274" s="793">
        <f t="shared" si="19"/>
        <v>327944.36153155053</v>
      </c>
      <c r="P274" s="793">
        <f t="shared" si="20"/>
        <v>0</v>
      </c>
    </row>
    <row r="275" spans="3:16">
      <c r="C275" s="789">
        <f>IF(D267="","-",+C274+1)</f>
        <v>2016</v>
      </c>
      <c r="D275" s="737">
        <f t="shared" si="21"/>
        <v>19119956.526829269</v>
      </c>
      <c r="E275" s="790">
        <f t="shared" ref="E275:E332" si="23">IF(D275&gt;$J$270,$J$270,D275)</f>
        <v>477998.91317073174</v>
      </c>
      <c r="F275" s="790">
        <f t="shared" si="17"/>
        <v>18641957.613658536</v>
      </c>
      <c r="G275" s="737">
        <f t="shared" si="22"/>
        <v>18880957.070243903</v>
      </c>
      <c r="H275" s="795">
        <f>+J268*G275+E275</f>
        <v>2579329.1282386906</v>
      </c>
      <c r="I275" s="796">
        <f>+J269*G275+E275</f>
        <v>2579329.1282386906</v>
      </c>
      <c r="J275" s="793">
        <f t="shared" ref="J275:J332" si="24">+I275-H275</f>
        <v>0</v>
      </c>
      <c r="K275" s="793"/>
      <c r="L275" s="813">
        <v>2231859</v>
      </c>
      <c r="M275" s="793">
        <f t="shared" si="18"/>
        <v>347470.12823869055</v>
      </c>
      <c r="N275" s="813">
        <v>2231859</v>
      </c>
      <c r="O275" s="793">
        <f t="shared" si="19"/>
        <v>347470.12823869055</v>
      </c>
      <c r="P275" s="793">
        <f t="shared" si="20"/>
        <v>0</v>
      </c>
    </row>
    <row r="276" spans="3:16">
      <c r="C276" s="789">
        <f>IF(D267="","-",+C275+1)</f>
        <v>2017</v>
      </c>
      <c r="D276" s="737">
        <f t="shared" si="21"/>
        <v>18641957.613658536</v>
      </c>
      <c r="E276" s="790">
        <f t="shared" si="23"/>
        <v>477998.91317073174</v>
      </c>
      <c r="F276" s="790">
        <f t="shared" si="17"/>
        <v>18163958.700487804</v>
      </c>
      <c r="G276" s="737">
        <f t="shared" si="22"/>
        <v>18402958.15707317</v>
      </c>
      <c r="H276" s="795">
        <f>+J268*G276+E276</f>
        <v>2526130.894945831</v>
      </c>
      <c r="I276" s="796">
        <f>+J269*G276+E276</f>
        <v>2526130.894945831</v>
      </c>
      <c r="J276" s="793">
        <f t="shared" si="24"/>
        <v>0</v>
      </c>
      <c r="K276" s="793"/>
      <c r="L276" s="813">
        <v>2437179</v>
      </c>
      <c r="M276" s="793">
        <f t="shared" si="18"/>
        <v>88951.894945831038</v>
      </c>
      <c r="N276" s="813">
        <v>2437179</v>
      </c>
      <c r="O276" s="793">
        <f t="shared" si="19"/>
        <v>88951.894945831038</v>
      </c>
      <c r="P276" s="793">
        <f t="shared" si="20"/>
        <v>0</v>
      </c>
    </row>
    <row r="277" spans="3:16">
      <c r="C277" s="789">
        <f>IF(D267="","-",+C276+1)</f>
        <v>2018</v>
      </c>
      <c r="D277" s="1377">
        <f t="shared" si="21"/>
        <v>18163958.700487804</v>
      </c>
      <c r="E277" s="790">
        <f t="shared" si="23"/>
        <v>477998.91317073174</v>
      </c>
      <c r="F277" s="790">
        <f t="shared" si="17"/>
        <v>17685959.787317071</v>
      </c>
      <c r="G277" s="737">
        <f t="shared" si="22"/>
        <v>17924959.243902437</v>
      </c>
      <c r="H277" s="795">
        <f>+J268*G277+E277</f>
        <v>2472932.6616529711</v>
      </c>
      <c r="I277" s="796">
        <f>+J269*G277+E277</f>
        <v>2472932.6616529711</v>
      </c>
      <c r="J277" s="793">
        <f t="shared" si="24"/>
        <v>0</v>
      </c>
      <c r="K277" s="793"/>
      <c r="L277" s="813">
        <v>2120264</v>
      </c>
      <c r="M277" s="793">
        <f t="shared" si="18"/>
        <v>352668.66165297106</v>
      </c>
      <c r="N277" s="813">
        <v>2120264</v>
      </c>
      <c r="O277" s="793">
        <f t="shared" si="19"/>
        <v>352668.66165297106</v>
      </c>
      <c r="P277" s="793">
        <f t="shared" si="20"/>
        <v>0</v>
      </c>
    </row>
    <row r="278" spans="3:16">
      <c r="C278" s="789">
        <f>IF(D267="","-",+C277+1)</f>
        <v>2019</v>
      </c>
      <c r="D278" s="737">
        <f t="shared" si="21"/>
        <v>17685959.787317071</v>
      </c>
      <c r="E278" s="790">
        <f t="shared" si="23"/>
        <v>477998.91317073174</v>
      </c>
      <c r="F278" s="790">
        <f t="shared" si="17"/>
        <v>17207960.874146339</v>
      </c>
      <c r="G278" s="737">
        <f t="shared" si="22"/>
        <v>17446960.330731705</v>
      </c>
      <c r="H278" s="795">
        <f>+J268*G278+E278</f>
        <v>2419734.4283601111</v>
      </c>
      <c r="I278" s="796">
        <f>+J269*G278+E278</f>
        <v>2419734.4283601111</v>
      </c>
      <c r="J278" s="793">
        <f t="shared" si="24"/>
        <v>0</v>
      </c>
      <c r="K278" s="793"/>
      <c r="L278" s="813">
        <v>2258477.9929412021</v>
      </c>
      <c r="M278" s="793">
        <f t="shared" si="18"/>
        <v>161256.43541890895</v>
      </c>
      <c r="N278" s="813">
        <v>2258477.9929412021</v>
      </c>
      <c r="O278" s="793">
        <f t="shared" si="19"/>
        <v>161256.43541890895</v>
      </c>
      <c r="P278" s="793">
        <f t="shared" si="20"/>
        <v>0</v>
      </c>
    </row>
    <row r="279" spans="3:16">
      <c r="C279" s="789">
        <f>IF(D267="","-",+C278+1)</f>
        <v>2020</v>
      </c>
      <c r="D279" s="737">
        <f t="shared" si="21"/>
        <v>17207960.874146339</v>
      </c>
      <c r="E279" s="790">
        <f t="shared" si="23"/>
        <v>477998.91317073174</v>
      </c>
      <c r="F279" s="790">
        <f t="shared" si="17"/>
        <v>16729961.960975606</v>
      </c>
      <c r="G279" s="737">
        <f t="shared" si="22"/>
        <v>16968961.417560972</v>
      </c>
      <c r="H279" s="795">
        <f>+J268*G279+E279</f>
        <v>2366536.1950672516</v>
      </c>
      <c r="I279" s="796">
        <f>+J269*G279+E279</f>
        <v>2366536.1950672516</v>
      </c>
      <c r="J279" s="793">
        <f t="shared" si="24"/>
        <v>0</v>
      </c>
      <c r="K279" s="793"/>
      <c r="L279" s="813">
        <v>2224968.003991791</v>
      </c>
      <c r="M279" s="793">
        <f t="shared" si="18"/>
        <v>141568.19107546052</v>
      </c>
      <c r="N279" s="813">
        <v>2224968.003991791</v>
      </c>
      <c r="O279" s="793">
        <f t="shared" si="19"/>
        <v>141568.19107546052</v>
      </c>
      <c r="P279" s="793">
        <f t="shared" si="20"/>
        <v>0</v>
      </c>
    </row>
    <row r="280" spans="3:16">
      <c r="C280" s="789">
        <f>IF(D267="","-",+C279+1)</f>
        <v>2021</v>
      </c>
      <c r="D280" s="737">
        <f t="shared" si="21"/>
        <v>16729961.960975606</v>
      </c>
      <c r="E280" s="790">
        <f t="shared" si="23"/>
        <v>477998.91317073174</v>
      </c>
      <c r="F280" s="790">
        <f t="shared" si="17"/>
        <v>16251963.047804873</v>
      </c>
      <c r="G280" s="737">
        <f t="shared" si="22"/>
        <v>16490962.50439024</v>
      </c>
      <c r="H280" s="795">
        <f>+J268*G280+E280</f>
        <v>2313337.9617743916</v>
      </c>
      <c r="I280" s="796">
        <f>+J269*G280+E280</f>
        <v>2313337.9617743916</v>
      </c>
      <c r="J280" s="793">
        <f t="shared" si="24"/>
        <v>0</v>
      </c>
      <c r="K280" s="793"/>
      <c r="L280" s="813">
        <v>2229997.0591313955</v>
      </c>
      <c r="M280" s="793">
        <f t="shared" si="18"/>
        <v>83340.90264299605</v>
      </c>
      <c r="N280" s="813">
        <v>2229997.0591313955</v>
      </c>
      <c r="O280" s="793">
        <f t="shared" si="19"/>
        <v>83340.90264299605</v>
      </c>
      <c r="P280" s="793">
        <f t="shared" si="20"/>
        <v>0</v>
      </c>
    </row>
    <row r="281" spans="3:16">
      <c r="C281" s="789">
        <f>IF(D267="","-",+C280+1)</f>
        <v>2022</v>
      </c>
      <c r="D281" s="737">
        <f t="shared" si="21"/>
        <v>16251963.047804873</v>
      </c>
      <c r="E281" s="790">
        <f t="shared" si="23"/>
        <v>477998.91317073174</v>
      </c>
      <c r="F281" s="790">
        <f t="shared" si="17"/>
        <v>15773964.134634141</v>
      </c>
      <c r="G281" s="737">
        <f t="shared" si="22"/>
        <v>16012963.591219507</v>
      </c>
      <c r="H281" s="795">
        <f>+J268*G281+E281</f>
        <v>2260139.7284815321</v>
      </c>
      <c r="I281" s="796">
        <f>+J269*G281+E281</f>
        <v>2260139.7284815321</v>
      </c>
      <c r="J281" s="793">
        <f t="shared" si="24"/>
        <v>0</v>
      </c>
      <c r="K281" s="793"/>
      <c r="L281" s="813">
        <v>2221483.4104371248</v>
      </c>
      <c r="M281" s="793">
        <f t="shared" si="18"/>
        <v>38656.318044407293</v>
      </c>
      <c r="N281" s="813">
        <v>2221483.4104371248</v>
      </c>
      <c r="O281" s="793">
        <f t="shared" si="19"/>
        <v>38656.318044407293</v>
      </c>
      <c r="P281" s="793">
        <f t="shared" si="20"/>
        <v>0</v>
      </c>
    </row>
    <row r="282" spans="3:16">
      <c r="C282" s="789">
        <f>IF(D267="","-",+C281+1)</f>
        <v>2023</v>
      </c>
      <c r="D282" s="737">
        <f t="shared" si="21"/>
        <v>15773964.134634141</v>
      </c>
      <c r="E282" s="790">
        <f t="shared" si="23"/>
        <v>477998.91317073174</v>
      </c>
      <c r="F282" s="790">
        <f t="shared" si="17"/>
        <v>15295965.221463408</v>
      </c>
      <c r="G282" s="737">
        <f t="shared" si="22"/>
        <v>15534964.678048775</v>
      </c>
      <c r="H282" s="795">
        <f>+J268*G282+E282</f>
        <v>2206941.4951886721</v>
      </c>
      <c r="I282" s="796">
        <f>+J269*G282+E282</f>
        <v>2206941.4951886721</v>
      </c>
      <c r="J282" s="793">
        <f t="shared" si="24"/>
        <v>0</v>
      </c>
      <c r="K282" s="793"/>
      <c r="L282" s="813"/>
      <c r="M282" s="793">
        <f t="shared" si="18"/>
        <v>0</v>
      </c>
      <c r="N282" s="813"/>
      <c r="O282" s="793">
        <f t="shared" si="19"/>
        <v>0</v>
      </c>
      <c r="P282" s="793">
        <f t="shared" si="20"/>
        <v>0</v>
      </c>
    </row>
    <row r="283" spans="3:16">
      <c r="C283" s="789">
        <f>IF(D267="","-",+C282+1)</f>
        <v>2024</v>
      </c>
      <c r="D283" s="737">
        <f t="shared" si="21"/>
        <v>15295965.221463408</v>
      </c>
      <c r="E283" s="790">
        <f t="shared" si="23"/>
        <v>477998.91317073174</v>
      </c>
      <c r="F283" s="790">
        <f t="shared" si="17"/>
        <v>14817966.308292676</v>
      </c>
      <c r="G283" s="737">
        <f t="shared" si="22"/>
        <v>15056965.764878042</v>
      </c>
      <c r="H283" s="795">
        <f>+J268*G283+E283</f>
        <v>2153743.2618958121</v>
      </c>
      <c r="I283" s="796">
        <f>+J269*G283+E283</f>
        <v>2153743.2618958121</v>
      </c>
      <c r="J283" s="793">
        <f t="shared" si="24"/>
        <v>0</v>
      </c>
      <c r="K283" s="793"/>
      <c r="L283" s="813"/>
      <c r="M283" s="793">
        <f t="shared" si="18"/>
        <v>0</v>
      </c>
      <c r="N283" s="813"/>
      <c r="O283" s="793">
        <f t="shared" si="19"/>
        <v>0</v>
      </c>
      <c r="P283" s="793">
        <f t="shared" si="20"/>
        <v>0</v>
      </c>
    </row>
    <row r="284" spans="3:16">
      <c r="C284" s="789">
        <f>IF(D267="","-",+C283+1)</f>
        <v>2025</v>
      </c>
      <c r="D284" s="737">
        <f t="shared" si="21"/>
        <v>14817966.308292676</v>
      </c>
      <c r="E284" s="790">
        <f t="shared" si="23"/>
        <v>477998.91317073174</v>
      </c>
      <c r="F284" s="790">
        <f t="shared" si="17"/>
        <v>14339967.395121943</v>
      </c>
      <c r="G284" s="737">
        <f t="shared" si="22"/>
        <v>14578966.851707309</v>
      </c>
      <c r="H284" s="795">
        <f>+J268*G284+E284</f>
        <v>2100545.0286029526</v>
      </c>
      <c r="I284" s="796">
        <f>+J269*G284+E284</f>
        <v>2100545.0286029526</v>
      </c>
      <c r="J284" s="793">
        <f t="shared" si="24"/>
        <v>0</v>
      </c>
      <c r="K284" s="793"/>
      <c r="L284" s="813"/>
      <c r="M284" s="793">
        <f t="shared" si="18"/>
        <v>0</v>
      </c>
      <c r="N284" s="813"/>
      <c r="O284" s="793">
        <f t="shared" si="19"/>
        <v>0</v>
      </c>
      <c r="P284" s="793">
        <f t="shared" si="20"/>
        <v>0</v>
      </c>
    </row>
    <row r="285" spans="3:16">
      <c r="C285" s="789">
        <f>IF(D267="","-",+C284+1)</f>
        <v>2026</v>
      </c>
      <c r="D285" s="737">
        <f t="shared" si="21"/>
        <v>14339967.395121943</v>
      </c>
      <c r="E285" s="790">
        <f t="shared" si="23"/>
        <v>477998.91317073174</v>
      </c>
      <c r="F285" s="790">
        <f t="shared" si="17"/>
        <v>13861968.481951211</v>
      </c>
      <c r="G285" s="737">
        <f t="shared" si="22"/>
        <v>14100967.938536577</v>
      </c>
      <c r="H285" s="795">
        <f>+J268*G285+E285</f>
        <v>2047346.7953100926</v>
      </c>
      <c r="I285" s="796">
        <f>+J269*G285+E285</f>
        <v>2047346.7953100926</v>
      </c>
      <c r="J285" s="793">
        <f t="shared" si="24"/>
        <v>0</v>
      </c>
      <c r="K285" s="793"/>
      <c r="L285" s="813"/>
      <c r="M285" s="793">
        <f t="shared" si="18"/>
        <v>0</v>
      </c>
      <c r="N285" s="813"/>
      <c r="O285" s="793">
        <f t="shared" si="19"/>
        <v>0</v>
      </c>
      <c r="P285" s="793">
        <f t="shared" si="20"/>
        <v>0</v>
      </c>
    </row>
    <row r="286" spans="3:16">
      <c r="C286" s="789">
        <f>IF(D267="","-",+C285+1)</f>
        <v>2027</v>
      </c>
      <c r="D286" s="737">
        <f t="shared" si="21"/>
        <v>13861968.481951211</v>
      </c>
      <c r="E286" s="790">
        <f t="shared" si="23"/>
        <v>477998.91317073174</v>
      </c>
      <c r="F286" s="790">
        <f t="shared" si="17"/>
        <v>13383969.568780478</v>
      </c>
      <c r="G286" s="737">
        <f t="shared" si="22"/>
        <v>13622969.025365844</v>
      </c>
      <c r="H286" s="795">
        <f>+J268*G286+E286</f>
        <v>1994148.5620172326</v>
      </c>
      <c r="I286" s="796">
        <f>+J269*G286+E286</f>
        <v>1994148.5620172326</v>
      </c>
      <c r="J286" s="793">
        <f t="shared" si="24"/>
        <v>0</v>
      </c>
      <c r="K286" s="793"/>
      <c r="L286" s="813"/>
      <c r="M286" s="793">
        <f t="shared" si="18"/>
        <v>0</v>
      </c>
      <c r="N286" s="813"/>
      <c r="O286" s="793">
        <f t="shared" si="19"/>
        <v>0</v>
      </c>
      <c r="P286" s="793">
        <f t="shared" si="20"/>
        <v>0</v>
      </c>
    </row>
    <row r="287" spans="3:16">
      <c r="C287" s="789">
        <f>IF(D267="","-",+C286+1)</f>
        <v>2028</v>
      </c>
      <c r="D287" s="737">
        <f t="shared" si="21"/>
        <v>13383969.568780478</v>
      </c>
      <c r="E287" s="790">
        <f t="shared" si="23"/>
        <v>477998.91317073174</v>
      </c>
      <c r="F287" s="790">
        <f t="shared" si="17"/>
        <v>12905970.655609746</v>
      </c>
      <c r="G287" s="737">
        <f t="shared" si="22"/>
        <v>13144970.112195112</v>
      </c>
      <c r="H287" s="795">
        <f>+J268*G287+E287</f>
        <v>1940950.3287243731</v>
      </c>
      <c r="I287" s="796">
        <f>+J269*G287+E287</f>
        <v>1940950.3287243731</v>
      </c>
      <c r="J287" s="793">
        <f t="shared" si="24"/>
        <v>0</v>
      </c>
      <c r="K287" s="793"/>
      <c r="L287" s="813"/>
      <c r="M287" s="793">
        <f t="shared" si="18"/>
        <v>0</v>
      </c>
      <c r="N287" s="813"/>
      <c r="O287" s="793">
        <f t="shared" si="19"/>
        <v>0</v>
      </c>
      <c r="P287" s="793">
        <f t="shared" si="20"/>
        <v>0</v>
      </c>
    </row>
    <row r="288" spans="3:16">
      <c r="C288" s="789">
        <f>IF(D267="","-",+C287+1)</f>
        <v>2029</v>
      </c>
      <c r="D288" s="737">
        <f t="shared" si="21"/>
        <v>12905970.655609746</v>
      </c>
      <c r="E288" s="790">
        <f t="shared" si="23"/>
        <v>477998.91317073174</v>
      </c>
      <c r="F288" s="790">
        <f t="shared" si="17"/>
        <v>12427971.742439013</v>
      </c>
      <c r="G288" s="737">
        <f t="shared" si="22"/>
        <v>12666971.199024379</v>
      </c>
      <c r="H288" s="795">
        <f>+J268*G288+E288</f>
        <v>1887752.0954315132</v>
      </c>
      <c r="I288" s="796">
        <f>+J269*G288+E288</f>
        <v>1887752.0954315132</v>
      </c>
      <c r="J288" s="793">
        <f t="shared" si="24"/>
        <v>0</v>
      </c>
      <c r="K288" s="793"/>
      <c r="L288" s="813"/>
      <c r="M288" s="793">
        <f t="shared" si="18"/>
        <v>0</v>
      </c>
      <c r="N288" s="813"/>
      <c r="O288" s="793">
        <f t="shared" si="19"/>
        <v>0</v>
      </c>
      <c r="P288" s="793">
        <f t="shared" si="20"/>
        <v>0</v>
      </c>
    </row>
    <row r="289" spans="3:16">
      <c r="C289" s="789">
        <f>IF(D267="","-",+C288+1)</f>
        <v>2030</v>
      </c>
      <c r="D289" s="737">
        <f t="shared" si="21"/>
        <v>12427971.742439013</v>
      </c>
      <c r="E289" s="790">
        <f t="shared" si="23"/>
        <v>477998.91317073174</v>
      </c>
      <c r="F289" s="790">
        <f t="shared" si="17"/>
        <v>11949972.82926828</v>
      </c>
      <c r="G289" s="737">
        <f t="shared" si="22"/>
        <v>12188972.285853647</v>
      </c>
      <c r="H289" s="795">
        <f>+J268*G289+E289</f>
        <v>1834553.8621386532</v>
      </c>
      <c r="I289" s="796">
        <f>+J269*G289+E289</f>
        <v>1834553.8621386532</v>
      </c>
      <c r="J289" s="793">
        <f t="shared" si="24"/>
        <v>0</v>
      </c>
      <c r="K289" s="793"/>
      <c r="L289" s="813"/>
      <c r="M289" s="793">
        <f t="shared" si="18"/>
        <v>0</v>
      </c>
      <c r="N289" s="813"/>
      <c r="O289" s="793">
        <f t="shared" si="19"/>
        <v>0</v>
      </c>
      <c r="P289" s="793">
        <f t="shared" si="20"/>
        <v>0</v>
      </c>
    </row>
    <row r="290" spans="3:16">
      <c r="C290" s="789">
        <f>IF(D267="","-",+C289+1)</f>
        <v>2031</v>
      </c>
      <c r="D290" s="737">
        <f t="shared" si="21"/>
        <v>11949972.82926828</v>
      </c>
      <c r="E290" s="790">
        <f t="shared" si="23"/>
        <v>477998.91317073174</v>
      </c>
      <c r="F290" s="790">
        <f t="shared" si="17"/>
        <v>11471973.916097548</v>
      </c>
      <c r="G290" s="737">
        <f t="shared" si="22"/>
        <v>11710973.372682914</v>
      </c>
      <c r="H290" s="795">
        <f>+J268*G290+E290</f>
        <v>1781355.6288457937</v>
      </c>
      <c r="I290" s="796">
        <f>+J269*G290+E290</f>
        <v>1781355.6288457937</v>
      </c>
      <c r="J290" s="793">
        <f t="shared" si="24"/>
        <v>0</v>
      </c>
      <c r="K290" s="793"/>
      <c r="L290" s="813"/>
      <c r="M290" s="793">
        <f t="shared" si="18"/>
        <v>0</v>
      </c>
      <c r="N290" s="813"/>
      <c r="O290" s="793">
        <f t="shared" si="19"/>
        <v>0</v>
      </c>
      <c r="P290" s="793">
        <f t="shared" si="20"/>
        <v>0</v>
      </c>
    </row>
    <row r="291" spans="3:16">
      <c r="C291" s="789">
        <f>IF(D267="","-",+C290+1)</f>
        <v>2032</v>
      </c>
      <c r="D291" s="737">
        <f t="shared" si="21"/>
        <v>11471973.916097548</v>
      </c>
      <c r="E291" s="790">
        <f t="shared" si="23"/>
        <v>477998.91317073174</v>
      </c>
      <c r="F291" s="790">
        <f t="shared" si="17"/>
        <v>10993975.002926815</v>
      </c>
      <c r="G291" s="737">
        <f t="shared" si="22"/>
        <v>11232974.459512182</v>
      </c>
      <c r="H291" s="795">
        <f>+J268*G291+E291</f>
        <v>1728157.3955529337</v>
      </c>
      <c r="I291" s="796">
        <f>+J269*G291+E291</f>
        <v>1728157.3955529337</v>
      </c>
      <c r="J291" s="793">
        <f t="shared" si="24"/>
        <v>0</v>
      </c>
      <c r="K291" s="793"/>
      <c r="L291" s="813"/>
      <c r="M291" s="793">
        <f t="shared" si="18"/>
        <v>0</v>
      </c>
      <c r="N291" s="813"/>
      <c r="O291" s="793">
        <f t="shared" si="19"/>
        <v>0</v>
      </c>
      <c r="P291" s="793">
        <f t="shared" si="20"/>
        <v>0</v>
      </c>
    </row>
    <row r="292" spans="3:16">
      <c r="C292" s="789">
        <f>IF(D267="","-",+C291+1)</f>
        <v>2033</v>
      </c>
      <c r="D292" s="737">
        <f t="shared" si="21"/>
        <v>10993975.002926815</v>
      </c>
      <c r="E292" s="790">
        <f t="shared" si="23"/>
        <v>477998.91317073174</v>
      </c>
      <c r="F292" s="790">
        <f t="shared" si="17"/>
        <v>10515976.089756083</v>
      </c>
      <c r="G292" s="737">
        <f t="shared" si="22"/>
        <v>10754975.546341449</v>
      </c>
      <c r="H292" s="795">
        <f>+J268*G292+E292</f>
        <v>1674959.1622600737</v>
      </c>
      <c r="I292" s="796">
        <f>+J269*G292+E292</f>
        <v>1674959.1622600737</v>
      </c>
      <c r="J292" s="793">
        <f t="shared" si="24"/>
        <v>0</v>
      </c>
      <c r="K292" s="793"/>
      <c r="L292" s="813"/>
      <c r="M292" s="793">
        <f t="shared" si="18"/>
        <v>0</v>
      </c>
      <c r="N292" s="813"/>
      <c r="O292" s="793">
        <f t="shared" si="19"/>
        <v>0</v>
      </c>
      <c r="P292" s="793">
        <f t="shared" si="20"/>
        <v>0</v>
      </c>
    </row>
    <row r="293" spans="3:16">
      <c r="C293" s="789">
        <f>IF(D267="","-",+C292+1)</f>
        <v>2034</v>
      </c>
      <c r="D293" s="737">
        <f t="shared" si="21"/>
        <v>10515976.089756083</v>
      </c>
      <c r="E293" s="790">
        <f t="shared" si="23"/>
        <v>477998.91317073174</v>
      </c>
      <c r="F293" s="790">
        <f t="shared" si="17"/>
        <v>10037977.17658535</v>
      </c>
      <c r="G293" s="737">
        <f t="shared" si="22"/>
        <v>10276976.633170716</v>
      </c>
      <c r="H293" s="795">
        <f>+J268*G293+E293</f>
        <v>1621760.9289672142</v>
      </c>
      <c r="I293" s="796">
        <f>+J269*G293+E293</f>
        <v>1621760.9289672142</v>
      </c>
      <c r="J293" s="793">
        <f t="shared" si="24"/>
        <v>0</v>
      </c>
      <c r="K293" s="793"/>
      <c r="L293" s="813"/>
      <c r="M293" s="793">
        <f t="shared" si="18"/>
        <v>0</v>
      </c>
      <c r="N293" s="813"/>
      <c r="O293" s="793">
        <f t="shared" si="19"/>
        <v>0</v>
      </c>
      <c r="P293" s="793">
        <f t="shared" si="20"/>
        <v>0</v>
      </c>
    </row>
    <row r="294" spans="3:16">
      <c r="C294" s="789">
        <f>IF(D267="","-",+C293+1)</f>
        <v>2035</v>
      </c>
      <c r="D294" s="737">
        <f t="shared" si="21"/>
        <v>10037977.17658535</v>
      </c>
      <c r="E294" s="790">
        <f t="shared" si="23"/>
        <v>477998.91317073174</v>
      </c>
      <c r="F294" s="790">
        <f t="shared" si="17"/>
        <v>9559978.2634146176</v>
      </c>
      <c r="G294" s="737">
        <f t="shared" si="22"/>
        <v>9798977.7199999839</v>
      </c>
      <c r="H294" s="795">
        <f>+J268*G294+E294</f>
        <v>1568562.6956743542</v>
      </c>
      <c r="I294" s="796">
        <f>+J269*G294+E294</f>
        <v>1568562.6956743542</v>
      </c>
      <c r="J294" s="793">
        <f t="shared" si="24"/>
        <v>0</v>
      </c>
      <c r="K294" s="793"/>
      <c r="L294" s="813"/>
      <c r="M294" s="793">
        <f t="shared" si="18"/>
        <v>0</v>
      </c>
      <c r="N294" s="813"/>
      <c r="O294" s="793">
        <f t="shared" si="19"/>
        <v>0</v>
      </c>
      <c r="P294" s="793">
        <f t="shared" si="20"/>
        <v>0</v>
      </c>
    </row>
    <row r="295" spans="3:16">
      <c r="C295" s="789">
        <f>IF(D267="","-",+C294+1)</f>
        <v>2036</v>
      </c>
      <c r="D295" s="737">
        <f t="shared" si="21"/>
        <v>9559978.2634146176</v>
      </c>
      <c r="E295" s="790">
        <f t="shared" si="23"/>
        <v>477998.91317073174</v>
      </c>
      <c r="F295" s="790">
        <f t="shared" si="17"/>
        <v>9081979.3502438851</v>
      </c>
      <c r="G295" s="737">
        <f t="shared" si="22"/>
        <v>9320978.8068292513</v>
      </c>
      <c r="H295" s="795">
        <f>+J268*G295+E295</f>
        <v>1515364.4623814945</v>
      </c>
      <c r="I295" s="796">
        <f>+J269*G295+E295</f>
        <v>1515364.4623814945</v>
      </c>
      <c r="J295" s="793">
        <f t="shared" si="24"/>
        <v>0</v>
      </c>
      <c r="K295" s="793"/>
      <c r="L295" s="813"/>
      <c r="M295" s="793">
        <f t="shared" si="18"/>
        <v>0</v>
      </c>
      <c r="N295" s="813"/>
      <c r="O295" s="793">
        <f t="shared" si="19"/>
        <v>0</v>
      </c>
      <c r="P295" s="793">
        <f t="shared" si="20"/>
        <v>0</v>
      </c>
    </row>
    <row r="296" spans="3:16">
      <c r="C296" s="789">
        <f>IF(D267="","-",+C295+1)</f>
        <v>2037</v>
      </c>
      <c r="D296" s="737">
        <f t="shared" si="21"/>
        <v>9081979.3502438851</v>
      </c>
      <c r="E296" s="790">
        <f t="shared" si="23"/>
        <v>477998.91317073174</v>
      </c>
      <c r="F296" s="790">
        <f t="shared" si="17"/>
        <v>8603980.4370731525</v>
      </c>
      <c r="G296" s="737">
        <f t="shared" si="22"/>
        <v>8842979.8936585188</v>
      </c>
      <c r="H296" s="795">
        <f>+J268*G296+E296</f>
        <v>1462166.2290886347</v>
      </c>
      <c r="I296" s="796">
        <f>+J269*G296+E296</f>
        <v>1462166.2290886347</v>
      </c>
      <c r="J296" s="793">
        <f t="shared" si="24"/>
        <v>0</v>
      </c>
      <c r="K296" s="793"/>
      <c r="L296" s="813"/>
      <c r="M296" s="793">
        <f t="shared" si="18"/>
        <v>0</v>
      </c>
      <c r="N296" s="813"/>
      <c r="O296" s="793">
        <f t="shared" si="19"/>
        <v>0</v>
      </c>
      <c r="P296" s="793">
        <f t="shared" si="20"/>
        <v>0</v>
      </c>
    </row>
    <row r="297" spans="3:16">
      <c r="C297" s="789">
        <f>IF(D267="","-",+C296+1)</f>
        <v>2038</v>
      </c>
      <c r="D297" s="737">
        <f t="shared" si="21"/>
        <v>8603980.4370731525</v>
      </c>
      <c r="E297" s="790">
        <f t="shared" si="23"/>
        <v>477998.91317073174</v>
      </c>
      <c r="F297" s="790">
        <f t="shared" si="17"/>
        <v>8125981.5239024209</v>
      </c>
      <c r="G297" s="737">
        <f t="shared" si="22"/>
        <v>8364980.9804877862</v>
      </c>
      <c r="H297" s="795">
        <f>+J268*G297+E297</f>
        <v>1408967.9957957747</v>
      </c>
      <c r="I297" s="796">
        <f>+J269*G297+E297</f>
        <v>1408967.9957957747</v>
      </c>
      <c r="J297" s="793">
        <f t="shared" si="24"/>
        <v>0</v>
      </c>
      <c r="K297" s="793"/>
      <c r="L297" s="813"/>
      <c r="M297" s="793">
        <f t="shared" si="18"/>
        <v>0</v>
      </c>
      <c r="N297" s="813"/>
      <c r="O297" s="793">
        <f t="shared" si="19"/>
        <v>0</v>
      </c>
      <c r="P297" s="793">
        <f t="shared" si="20"/>
        <v>0</v>
      </c>
    </row>
    <row r="298" spans="3:16">
      <c r="C298" s="789">
        <f>IF(D267="","-",+C297+1)</f>
        <v>2039</v>
      </c>
      <c r="D298" s="737">
        <f t="shared" si="21"/>
        <v>8125981.5239024209</v>
      </c>
      <c r="E298" s="790">
        <f t="shared" si="23"/>
        <v>477998.91317073174</v>
      </c>
      <c r="F298" s="790">
        <f t="shared" si="17"/>
        <v>7647982.6107316893</v>
      </c>
      <c r="G298" s="737">
        <f t="shared" si="22"/>
        <v>7886982.0673170555</v>
      </c>
      <c r="H298" s="795">
        <f>+J268*G298+E298</f>
        <v>1355769.7625029152</v>
      </c>
      <c r="I298" s="796">
        <f>+J269*G298+E298</f>
        <v>1355769.7625029152</v>
      </c>
      <c r="J298" s="793">
        <f t="shared" si="24"/>
        <v>0</v>
      </c>
      <c r="K298" s="793"/>
      <c r="L298" s="813"/>
      <c r="M298" s="793">
        <f t="shared" si="18"/>
        <v>0</v>
      </c>
      <c r="N298" s="813"/>
      <c r="O298" s="793">
        <f t="shared" si="19"/>
        <v>0</v>
      </c>
      <c r="P298" s="793">
        <f t="shared" si="20"/>
        <v>0</v>
      </c>
    </row>
    <row r="299" spans="3:16">
      <c r="C299" s="789">
        <f>IF(D267="","-",+C298+1)</f>
        <v>2040</v>
      </c>
      <c r="D299" s="737">
        <f t="shared" si="21"/>
        <v>7647982.6107316893</v>
      </c>
      <c r="E299" s="790">
        <f t="shared" si="23"/>
        <v>477998.91317073174</v>
      </c>
      <c r="F299" s="790">
        <f t="shared" si="17"/>
        <v>7169983.6975609576</v>
      </c>
      <c r="G299" s="737">
        <f t="shared" si="22"/>
        <v>7408983.154146323</v>
      </c>
      <c r="H299" s="795">
        <f>+J268*G299+E299</f>
        <v>1302571.5292100552</v>
      </c>
      <c r="I299" s="796">
        <f>+J269*G299+E299</f>
        <v>1302571.5292100552</v>
      </c>
      <c r="J299" s="793">
        <f t="shared" si="24"/>
        <v>0</v>
      </c>
      <c r="K299" s="793"/>
      <c r="L299" s="813"/>
      <c r="M299" s="793">
        <f t="shared" si="18"/>
        <v>0</v>
      </c>
      <c r="N299" s="813"/>
      <c r="O299" s="793">
        <f t="shared" si="19"/>
        <v>0</v>
      </c>
      <c r="P299" s="793">
        <f t="shared" si="20"/>
        <v>0</v>
      </c>
    </row>
    <row r="300" spans="3:16">
      <c r="C300" s="789">
        <f>IF(D267="","-",+C299+1)</f>
        <v>2041</v>
      </c>
      <c r="D300" s="737">
        <f t="shared" si="21"/>
        <v>7169983.6975609576</v>
      </c>
      <c r="E300" s="790">
        <f t="shared" si="23"/>
        <v>477998.91317073174</v>
      </c>
      <c r="F300" s="790">
        <f t="shared" si="17"/>
        <v>6691984.784390226</v>
      </c>
      <c r="G300" s="737">
        <f t="shared" si="22"/>
        <v>6930984.2409755923</v>
      </c>
      <c r="H300" s="795">
        <f>+J268*G300+E300</f>
        <v>1249373.2959171957</v>
      </c>
      <c r="I300" s="796">
        <f>+J269*G300+E300</f>
        <v>1249373.2959171957</v>
      </c>
      <c r="J300" s="793">
        <f t="shared" si="24"/>
        <v>0</v>
      </c>
      <c r="K300" s="793"/>
      <c r="L300" s="813"/>
      <c r="M300" s="793">
        <f t="shared" si="18"/>
        <v>0</v>
      </c>
      <c r="N300" s="813"/>
      <c r="O300" s="793">
        <f t="shared" si="19"/>
        <v>0</v>
      </c>
      <c r="P300" s="793">
        <f t="shared" si="20"/>
        <v>0</v>
      </c>
    </row>
    <row r="301" spans="3:16">
      <c r="C301" s="789">
        <f>IF(D267="","-",+C300+1)</f>
        <v>2042</v>
      </c>
      <c r="D301" s="737">
        <f t="shared" si="21"/>
        <v>6691984.784390226</v>
      </c>
      <c r="E301" s="790">
        <f t="shared" si="23"/>
        <v>477998.91317073174</v>
      </c>
      <c r="F301" s="790">
        <f t="shared" si="17"/>
        <v>6213985.8712194944</v>
      </c>
      <c r="G301" s="737">
        <f t="shared" si="22"/>
        <v>6452985.3278048597</v>
      </c>
      <c r="H301" s="795">
        <f>+J268*G301+E301</f>
        <v>1196175.062624336</v>
      </c>
      <c r="I301" s="796">
        <f>+J269*G301+E301</f>
        <v>1196175.062624336</v>
      </c>
      <c r="J301" s="793">
        <f t="shared" si="24"/>
        <v>0</v>
      </c>
      <c r="K301" s="793"/>
      <c r="L301" s="813"/>
      <c r="M301" s="793">
        <f t="shared" si="18"/>
        <v>0</v>
      </c>
      <c r="N301" s="813"/>
      <c r="O301" s="793">
        <f t="shared" si="19"/>
        <v>0</v>
      </c>
      <c r="P301" s="793">
        <f t="shared" si="20"/>
        <v>0</v>
      </c>
    </row>
    <row r="302" spans="3:16">
      <c r="C302" s="789">
        <f>IF(D267="","-",+C301+1)</f>
        <v>2043</v>
      </c>
      <c r="D302" s="737">
        <f t="shared" si="21"/>
        <v>6213985.8712194944</v>
      </c>
      <c r="E302" s="790">
        <f t="shared" si="23"/>
        <v>477998.91317073174</v>
      </c>
      <c r="F302" s="790">
        <f t="shared" si="17"/>
        <v>5735986.9580487628</v>
      </c>
      <c r="G302" s="737">
        <f t="shared" si="22"/>
        <v>5974986.414634129</v>
      </c>
      <c r="H302" s="795">
        <f>+J268*G302+E302</f>
        <v>1142976.8293314762</v>
      </c>
      <c r="I302" s="796">
        <f>+J269*G302+E302</f>
        <v>1142976.8293314762</v>
      </c>
      <c r="J302" s="793">
        <f t="shared" si="24"/>
        <v>0</v>
      </c>
      <c r="K302" s="793"/>
      <c r="L302" s="813"/>
      <c r="M302" s="793">
        <f t="shared" si="18"/>
        <v>0</v>
      </c>
      <c r="N302" s="813"/>
      <c r="O302" s="793">
        <f t="shared" si="19"/>
        <v>0</v>
      </c>
      <c r="P302" s="793">
        <f t="shared" si="20"/>
        <v>0</v>
      </c>
    </row>
    <row r="303" spans="3:16">
      <c r="C303" s="789">
        <f>IF(D267="","-",+C302+1)</f>
        <v>2044</v>
      </c>
      <c r="D303" s="737">
        <f t="shared" si="21"/>
        <v>5735986.9580487628</v>
      </c>
      <c r="E303" s="790">
        <f t="shared" si="23"/>
        <v>477998.91317073174</v>
      </c>
      <c r="F303" s="790">
        <f t="shared" si="17"/>
        <v>5257988.0448780311</v>
      </c>
      <c r="G303" s="737">
        <f t="shared" si="22"/>
        <v>5496987.5014633965</v>
      </c>
      <c r="H303" s="795">
        <f>+J268*G303+E303</f>
        <v>1089778.5960386165</v>
      </c>
      <c r="I303" s="796">
        <f>+J269*G303+E303</f>
        <v>1089778.5960386165</v>
      </c>
      <c r="J303" s="793">
        <f t="shared" si="24"/>
        <v>0</v>
      </c>
      <c r="K303" s="793"/>
      <c r="L303" s="813"/>
      <c r="M303" s="793">
        <f t="shared" si="18"/>
        <v>0</v>
      </c>
      <c r="N303" s="813"/>
      <c r="O303" s="793">
        <f t="shared" si="19"/>
        <v>0</v>
      </c>
      <c r="P303" s="793">
        <f t="shared" si="20"/>
        <v>0</v>
      </c>
    </row>
    <row r="304" spans="3:16">
      <c r="C304" s="789">
        <f>IF(D267="","-",+C303+1)</f>
        <v>2045</v>
      </c>
      <c r="D304" s="737">
        <f t="shared" si="21"/>
        <v>5257988.0448780311</v>
      </c>
      <c r="E304" s="790">
        <f t="shared" si="23"/>
        <v>477998.91317073174</v>
      </c>
      <c r="F304" s="790">
        <f t="shared" si="17"/>
        <v>4779989.1317072995</v>
      </c>
      <c r="G304" s="737">
        <f t="shared" si="22"/>
        <v>5018988.5882926658</v>
      </c>
      <c r="H304" s="795">
        <f>+J268*G304+E304</f>
        <v>1036580.3627457569</v>
      </c>
      <c r="I304" s="796">
        <f>+J269*G304+E304</f>
        <v>1036580.3627457569</v>
      </c>
      <c r="J304" s="793">
        <f t="shared" si="24"/>
        <v>0</v>
      </c>
      <c r="K304" s="793"/>
      <c r="L304" s="813"/>
      <c r="M304" s="793">
        <f t="shared" si="18"/>
        <v>0</v>
      </c>
      <c r="N304" s="813"/>
      <c r="O304" s="793">
        <f t="shared" si="19"/>
        <v>0</v>
      </c>
      <c r="P304" s="793">
        <f t="shared" si="20"/>
        <v>0</v>
      </c>
    </row>
    <row r="305" spans="3:16">
      <c r="C305" s="789">
        <f>IF(D267="","-",+C304+1)</f>
        <v>2046</v>
      </c>
      <c r="D305" s="737">
        <f t="shared" si="21"/>
        <v>4779989.1317072995</v>
      </c>
      <c r="E305" s="790">
        <f t="shared" si="23"/>
        <v>477998.91317073174</v>
      </c>
      <c r="F305" s="790">
        <f t="shared" si="17"/>
        <v>4301990.2185365679</v>
      </c>
      <c r="G305" s="737">
        <f t="shared" si="22"/>
        <v>4540989.6751219332</v>
      </c>
      <c r="H305" s="795">
        <f>+J268*G305+E305</f>
        <v>983382.12945289712</v>
      </c>
      <c r="I305" s="796">
        <f>+J269*G305+E305</f>
        <v>983382.12945289712</v>
      </c>
      <c r="J305" s="793">
        <f t="shared" si="24"/>
        <v>0</v>
      </c>
      <c r="K305" s="793"/>
      <c r="L305" s="813"/>
      <c r="M305" s="793">
        <f t="shared" si="18"/>
        <v>0</v>
      </c>
      <c r="N305" s="813"/>
      <c r="O305" s="793">
        <f t="shared" si="19"/>
        <v>0</v>
      </c>
      <c r="P305" s="793">
        <f t="shared" si="20"/>
        <v>0</v>
      </c>
    </row>
    <row r="306" spans="3:16">
      <c r="C306" s="789">
        <f>IF(D267="","-",+C305+1)</f>
        <v>2047</v>
      </c>
      <c r="D306" s="737">
        <f t="shared" si="21"/>
        <v>4301990.2185365679</v>
      </c>
      <c r="E306" s="790">
        <f t="shared" si="23"/>
        <v>477998.91317073174</v>
      </c>
      <c r="F306" s="790">
        <f t="shared" si="17"/>
        <v>3823991.3053658362</v>
      </c>
      <c r="G306" s="737">
        <f t="shared" si="22"/>
        <v>4062990.7619512021</v>
      </c>
      <c r="H306" s="795">
        <f>+J268*G306+E306</f>
        <v>930183.89616003749</v>
      </c>
      <c r="I306" s="796">
        <f>+J269*G306+E306</f>
        <v>930183.89616003749</v>
      </c>
      <c r="J306" s="793">
        <f t="shared" si="24"/>
        <v>0</v>
      </c>
      <c r="K306" s="793"/>
      <c r="L306" s="813"/>
      <c r="M306" s="793">
        <f t="shared" si="18"/>
        <v>0</v>
      </c>
      <c r="N306" s="813"/>
      <c r="O306" s="793">
        <f t="shared" si="19"/>
        <v>0</v>
      </c>
      <c r="P306" s="793">
        <f t="shared" si="20"/>
        <v>0</v>
      </c>
    </row>
    <row r="307" spans="3:16">
      <c r="C307" s="789">
        <f>IF(D267="","-",+C306+1)</f>
        <v>2048</v>
      </c>
      <c r="D307" s="737">
        <f t="shared" si="21"/>
        <v>3823991.3053658362</v>
      </c>
      <c r="E307" s="790">
        <f t="shared" si="23"/>
        <v>477998.91317073174</v>
      </c>
      <c r="F307" s="790">
        <f t="shared" si="17"/>
        <v>3345992.3921951046</v>
      </c>
      <c r="G307" s="737">
        <f t="shared" si="22"/>
        <v>3584991.8487804704</v>
      </c>
      <c r="H307" s="795">
        <f>+J268*G307+E307</f>
        <v>876985.66286717774</v>
      </c>
      <c r="I307" s="796">
        <f>+J269*G307+E307</f>
        <v>876985.66286717774</v>
      </c>
      <c r="J307" s="793">
        <f t="shared" si="24"/>
        <v>0</v>
      </c>
      <c r="K307" s="793"/>
      <c r="L307" s="813"/>
      <c r="M307" s="793">
        <f t="shared" si="18"/>
        <v>0</v>
      </c>
      <c r="N307" s="813"/>
      <c r="O307" s="793">
        <f t="shared" si="19"/>
        <v>0</v>
      </c>
      <c r="P307" s="793">
        <f t="shared" si="20"/>
        <v>0</v>
      </c>
    </row>
    <row r="308" spans="3:16">
      <c r="C308" s="789">
        <f>IF(D267="","-",+C307+1)</f>
        <v>2049</v>
      </c>
      <c r="D308" s="737">
        <f t="shared" si="21"/>
        <v>3345992.3921951046</v>
      </c>
      <c r="E308" s="790">
        <f t="shared" si="23"/>
        <v>477998.91317073174</v>
      </c>
      <c r="F308" s="790">
        <f t="shared" si="17"/>
        <v>2867993.479024373</v>
      </c>
      <c r="G308" s="737">
        <f t="shared" si="22"/>
        <v>3106992.9356097388</v>
      </c>
      <c r="H308" s="795">
        <f>+J268*G308+E308</f>
        <v>823787.429574318</v>
      </c>
      <c r="I308" s="796">
        <f>+J269*G308+E308</f>
        <v>823787.429574318</v>
      </c>
      <c r="J308" s="793">
        <f t="shared" si="24"/>
        <v>0</v>
      </c>
      <c r="K308" s="793"/>
      <c r="L308" s="813"/>
      <c r="M308" s="793">
        <f t="shared" si="18"/>
        <v>0</v>
      </c>
      <c r="N308" s="813"/>
      <c r="O308" s="793">
        <f t="shared" si="19"/>
        <v>0</v>
      </c>
      <c r="P308" s="793">
        <f t="shared" si="20"/>
        <v>0</v>
      </c>
    </row>
    <row r="309" spans="3:16">
      <c r="C309" s="789">
        <f>IF(D267="","-",+C308+1)</f>
        <v>2050</v>
      </c>
      <c r="D309" s="737">
        <f t="shared" si="21"/>
        <v>2867993.479024373</v>
      </c>
      <c r="E309" s="790">
        <f t="shared" si="23"/>
        <v>477998.91317073174</v>
      </c>
      <c r="F309" s="790">
        <f t="shared" si="17"/>
        <v>2389994.5658536414</v>
      </c>
      <c r="G309" s="737">
        <f t="shared" si="22"/>
        <v>2628994.0224390072</v>
      </c>
      <c r="H309" s="795">
        <f>+J268*G309+E309</f>
        <v>770589.19628145825</v>
      </c>
      <c r="I309" s="796">
        <f>+J269*G309+E309</f>
        <v>770589.19628145825</v>
      </c>
      <c r="J309" s="793">
        <f t="shared" si="24"/>
        <v>0</v>
      </c>
      <c r="K309" s="793"/>
      <c r="L309" s="813"/>
      <c r="M309" s="793">
        <f t="shared" si="18"/>
        <v>0</v>
      </c>
      <c r="N309" s="813"/>
      <c r="O309" s="793">
        <f t="shared" si="19"/>
        <v>0</v>
      </c>
      <c r="P309" s="793">
        <f t="shared" si="20"/>
        <v>0</v>
      </c>
    </row>
    <row r="310" spans="3:16">
      <c r="C310" s="789">
        <f>IF(D267="","-",+C309+1)</f>
        <v>2051</v>
      </c>
      <c r="D310" s="737">
        <f t="shared" si="21"/>
        <v>2389994.5658536414</v>
      </c>
      <c r="E310" s="790">
        <f t="shared" si="23"/>
        <v>477998.91317073174</v>
      </c>
      <c r="F310" s="790">
        <f t="shared" si="17"/>
        <v>1911995.6526829097</v>
      </c>
      <c r="G310" s="737">
        <f t="shared" si="22"/>
        <v>2150995.1092682756</v>
      </c>
      <c r="H310" s="795">
        <f>+J268*G310+E310</f>
        <v>717390.96298859862</v>
      </c>
      <c r="I310" s="796">
        <f>+J269*G310+E310</f>
        <v>717390.96298859862</v>
      </c>
      <c r="J310" s="793">
        <f t="shared" si="24"/>
        <v>0</v>
      </c>
      <c r="K310" s="793"/>
      <c r="L310" s="813"/>
      <c r="M310" s="793">
        <f t="shared" si="18"/>
        <v>0</v>
      </c>
      <c r="N310" s="813"/>
      <c r="O310" s="793">
        <f t="shared" si="19"/>
        <v>0</v>
      </c>
      <c r="P310" s="793">
        <f t="shared" si="20"/>
        <v>0</v>
      </c>
    </row>
    <row r="311" spans="3:16">
      <c r="C311" s="789">
        <f>IF(D267="","-",+C310+1)</f>
        <v>2052</v>
      </c>
      <c r="D311" s="737">
        <f t="shared" si="21"/>
        <v>1911995.6526829097</v>
      </c>
      <c r="E311" s="790">
        <f t="shared" si="23"/>
        <v>477998.91317073174</v>
      </c>
      <c r="F311" s="790">
        <f t="shared" si="17"/>
        <v>1433996.7395121781</v>
      </c>
      <c r="G311" s="737">
        <f t="shared" si="22"/>
        <v>1672996.1960975439</v>
      </c>
      <c r="H311" s="795">
        <f>+J268*G311+E311</f>
        <v>664192.72969573888</v>
      </c>
      <c r="I311" s="796">
        <f>+J269*G311+E311</f>
        <v>664192.72969573888</v>
      </c>
      <c r="J311" s="793">
        <f t="shared" si="24"/>
        <v>0</v>
      </c>
      <c r="K311" s="793"/>
      <c r="L311" s="813"/>
      <c r="M311" s="793">
        <f t="shared" si="18"/>
        <v>0</v>
      </c>
      <c r="N311" s="813"/>
      <c r="O311" s="793">
        <f t="shared" si="19"/>
        <v>0</v>
      </c>
      <c r="P311" s="793">
        <f t="shared" si="20"/>
        <v>0</v>
      </c>
    </row>
    <row r="312" spans="3:16">
      <c r="C312" s="789">
        <f>IF(D267="","-",+C311+1)</f>
        <v>2053</v>
      </c>
      <c r="D312" s="737">
        <f t="shared" si="21"/>
        <v>1433996.7395121781</v>
      </c>
      <c r="E312" s="790">
        <f t="shared" si="23"/>
        <v>477998.91317073174</v>
      </c>
      <c r="F312" s="790">
        <f t="shared" si="17"/>
        <v>955997.82634144637</v>
      </c>
      <c r="G312" s="737">
        <f t="shared" si="22"/>
        <v>1194997.2829268123</v>
      </c>
      <c r="H312" s="795">
        <f>+J268*G312+E312</f>
        <v>610994.49640287913</v>
      </c>
      <c r="I312" s="796">
        <f>+J269*G312+E312</f>
        <v>610994.49640287913</v>
      </c>
      <c r="J312" s="793">
        <f t="shared" si="24"/>
        <v>0</v>
      </c>
      <c r="K312" s="793"/>
      <c r="L312" s="813"/>
      <c r="M312" s="793">
        <f t="shared" si="18"/>
        <v>0</v>
      </c>
      <c r="N312" s="813"/>
      <c r="O312" s="793">
        <f t="shared" si="19"/>
        <v>0</v>
      </c>
      <c r="P312" s="793">
        <f t="shared" si="20"/>
        <v>0</v>
      </c>
    </row>
    <row r="313" spans="3:16">
      <c r="C313" s="789">
        <f>IF(D267="","-",+C312+1)</f>
        <v>2054</v>
      </c>
      <c r="D313" s="737">
        <f t="shared" si="21"/>
        <v>955997.82634144637</v>
      </c>
      <c r="E313" s="790">
        <f t="shared" si="23"/>
        <v>477998.91317073174</v>
      </c>
      <c r="F313" s="790">
        <f t="shared" si="17"/>
        <v>477998.91317071463</v>
      </c>
      <c r="G313" s="737">
        <f t="shared" si="22"/>
        <v>716998.36975608044</v>
      </c>
      <c r="H313" s="795">
        <f>+J268*G313+E313</f>
        <v>557796.26311001938</v>
      </c>
      <c r="I313" s="796">
        <f>+J269*G313+E313</f>
        <v>557796.26311001938</v>
      </c>
      <c r="J313" s="793">
        <f t="shared" si="24"/>
        <v>0</v>
      </c>
      <c r="K313" s="793"/>
      <c r="L313" s="813"/>
      <c r="M313" s="793">
        <f t="shared" si="18"/>
        <v>0</v>
      </c>
      <c r="N313" s="813"/>
      <c r="O313" s="793">
        <f t="shared" si="19"/>
        <v>0</v>
      </c>
      <c r="P313" s="793">
        <f t="shared" si="20"/>
        <v>0</v>
      </c>
    </row>
    <row r="314" spans="3:16">
      <c r="C314" s="789">
        <f>IF(D267="","-",+C313+1)</f>
        <v>2055</v>
      </c>
      <c r="D314" s="737">
        <f t="shared" si="21"/>
        <v>477998.91317071463</v>
      </c>
      <c r="E314" s="790">
        <f t="shared" si="23"/>
        <v>477998.91317071463</v>
      </c>
      <c r="F314" s="790">
        <f t="shared" si="17"/>
        <v>0</v>
      </c>
      <c r="G314" s="737">
        <f t="shared" si="22"/>
        <v>238999.45658535731</v>
      </c>
      <c r="H314" s="795">
        <f>+J268*G314+E314</f>
        <v>504598.02981714351</v>
      </c>
      <c r="I314" s="796">
        <f>+J269*G314+E314</f>
        <v>504598.02981714351</v>
      </c>
      <c r="J314" s="793">
        <f t="shared" si="24"/>
        <v>0</v>
      </c>
      <c r="K314" s="793"/>
      <c r="L314" s="813"/>
      <c r="M314" s="793">
        <f t="shared" si="18"/>
        <v>0</v>
      </c>
      <c r="N314" s="813"/>
      <c r="O314" s="793">
        <f t="shared" si="19"/>
        <v>0</v>
      </c>
      <c r="P314" s="793">
        <f t="shared" si="20"/>
        <v>0</v>
      </c>
    </row>
    <row r="315" spans="3:16">
      <c r="C315" s="789">
        <f>IF(D267="","-",+C314+1)</f>
        <v>2056</v>
      </c>
      <c r="D315" s="737">
        <f t="shared" si="21"/>
        <v>0</v>
      </c>
      <c r="E315" s="790">
        <f t="shared" si="23"/>
        <v>0</v>
      </c>
      <c r="F315" s="790">
        <f t="shared" si="17"/>
        <v>0</v>
      </c>
      <c r="G315" s="737">
        <f t="shared" si="22"/>
        <v>0</v>
      </c>
      <c r="H315" s="795">
        <f>+J268*G315+E315</f>
        <v>0</v>
      </c>
      <c r="I315" s="796">
        <f>+J269*G315+E315</f>
        <v>0</v>
      </c>
      <c r="J315" s="793">
        <f t="shared" si="24"/>
        <v>0</v>
      </c>
      <c r="K315" s="793"/>
      <c r="L315" s="813"/>
      <c r="M315" s="793">
        <f t="shared" si="18"/>
        <v>0</v>
      </c>
      <c r="N315" s="813"/>
      <c r="O315" s="793">
        <f t="shared" si="19"/>
        <v>0</v>
      </c>
      <c r="P315" s="793">
        <f t="shared" si="20"/>
        <v>0</v>
      </c>
    </row>
    <row r="316" spans="3:16">
      <c r="C316" s="789">
        <f>IF(D267="","-",+C315+1)</f>
        <v>2057</v>
      </c>
      <c r="D316" s="737">
        <f t="shared" si="21"/>
        <v>0</v>
      </c>
      <c r="E316" s="790">
        <f t="shared" si="23"/>
        <v>0</v>
      </c>
      <c r="F316" s="790">
        <f t="shared" si="17"/>
        <v>0</v>
      </c>
      <c r="G316" s="737">
        <f t="shared" si="22"/>
        <v>0</v>
      </c>
      <c r="H316" s="795">
        <f>+J268*G316+E316</f>
        <v>0</v>
      </c>
      <c r="I316" s="796">
        <f>+J269*G316+E316</f>
        <v>0</v>
      </c>
      <c r="J316" s="793">
        <f t="shared" si="24"/>
        <v>0</v>
      </c>
      <c r="K316" s="793"/>
      <c r="L316" s="813"/>
      <c r="M316" s="793">
        <f t="shared" si="18"/>
        <v>0</v>
      </c>
      <c r="N316" s="813"/>
      <c r="O316" s="793">
        <f t="shared" si="19"/>
        <v>0</v>
      </c>
      <c r="P316" s="793">
        <f t="shared" si="20"/>
        <v>0</v>
      </c>
    </row>
    <row r="317" spans="3:16">
      <c r="C317" s="789">
        <f>IF(D267="","-",+C316+1)</f>
        <v>2058</v>
      </c>
      <c r="D317" s="737">
        <f t="shared" si="21"/>
        <v>0</v>
      </c>
      <c r="E317" s="790">
        <f t="shared" si="23"/>
        <v>0</v>
      </c>
      <c r="F317" s="790">
        <f t="shared" si="17"/>
        <v>0</v>
      </c>
      <c r="G317" s="737">
        <f t="shared" si="22"/>
        <v>0</v>
      </c>
      <c r="H317" s="795">
        <f>+J268*G317+E317</f>
        <v>0</v>
      </c>
      <c r="I317" s="796">
        <f>+J269*G317+E317</f>
        <v>0</v>
      </c>
      <c r="J317" s="793">
        <f t="shared" si="24"/>
        <v>0</v>
      </c>
      <c r="K317" s="793"/>
      <c r="L317" s="813"/>
      <c r="M317" s="793">
        <f t="shared" si="18"/>
        <v>0</v>
      </c>
      <c r="N317" s="813"/>
      <c r="O317" s="793">
        <f t="shared" si="19"/>
        <v>0</v>
      </c>
      <c r="P317" s="793">
        <f t="shared" si="20"/>
        <v>0</v>
      </c>
    </row>
    <row r="318" spans="3:16">
      <c r="C318" s="789">
        <f>IF(D267="","-",+C317+1)</f>
        <v>2059</v>
      </c>
      <c r="D318" s="737">
        <f t="shared" si="21"/>
        <v>0</v>
      </c>
      <c r="E318" s="790">
        <f t="shared" si="23"/>
        <v>0</v>
      </c>
      <c r="F318" s="790">
        <f t="shared" si="17"/>
        <v>0</v>
      </c>
      <c r="G318" s="737">
        <f t="shared" si="22"/>
        <v>0</v>
      </c>
      <c r="H318" s="795">
        <f>+J268*G318+E318</f>
        <v>0</v>
      </c>
      <c r="I318" s="796">
        <f>+J269*G318+E318</f>
        <v>0</v>
      </c>
      <c r="J318" s="793">
        <f t="shared" si="24"/>
        <v>0</v>
      </c>
      <c r="K318" s="793"/>
      <c r="L318" s="813"/>
      <c r="M318" s="793">
        <f t="shared" si="18"/>
        <v>0</v>
      </c>
      <c r="N318" s="813"/>
      <c r="O318" s="793">
        <f t="shared" si="19"/>
        <v>0</v>
      </c>
      <c r="P318" s="793">
        <f t="shared" si="20"/>
        <v>0</v>
      </c>
    </row>
    <row r="319" spans="3:16">
      <c r="C319" s="789">
        <f>IF(D267="","-",+C318+1)</f>
        <v>2060</v>
      </c>
      <c r="D319" s="737">
        <f t="shared" si="21"/>
        <v>0</v>
      </c>
      <c r="E319" s="790">
        <f t="shared" si="23"/>
        <v>0</v>
      </c>
      <c r="F319" s="790">
        <f t="shared" si="17"/>
        <v>0</v>
      </c>
      <c r="G319" s="737">
        <f t="shared" si="22"/>
        <v>0</v>
      </c>
      <c r="H319" s="795">
        <f>+J268*G319+E319</f>
        <v>0</v>
      </c>
      <c r="I319" s="796">
        <f>+J269*G319+E319</f>
        <v>0</v>
      </c>
      <c r="J319" s="793">
        <f t="shared" si="24"/>
        <v>0</v>
      </c>
      <c r="K319" s="793"/>
      <c r="L319" s="813"/>
      <c r="M319" s="793">
        <f t="shared" si="18"/>
        <v>0</v>
      </c>
      <c r="N319" s="813"/>
      <c r="O319" s="793">
        <f t="shared" si="19"/>
        <v>0</v>
      </c>
      <c r="P319" s="793">
        <f t="shared" si="20"/>
        <v>0</v>
      </c>
    </row>
    <row r="320" spans="3:16">
      <c r="C320" s="789">
        <f>IF(D267="","-",+C319+1)</f>
        <v>2061</v>
      </c>
      <c r="D320" s="737">
        <f t="shared" si="21"/>
        <v>0</v>
      </c>
      <c r="E320" s="790">
        <f t="shared" si="23"/>
        <v>0</v>
      </c>
      <c r="F320" s="790">
        <f t="shared" si="17"/>
        <v>0</v>
      </c>
      <c r="G320" s="737">
        <f t="shared" si="22"/>
        <v>0</v>
      </c>
      <c r="H320" s="795">
        <f>+J268*G320+E320</f>
        <v>0</v>
      </c>
      <c r="I320" s="796">
        <f>+J269*G320+E320</f>
        <v>0</v>
      </c>
      <c r="J320" s="793">
        <f t="shared" si="24"/>
        <v>0</v>
      </c>
      <c r="K320" s="793"/>
      <c r="L320" s="813"/>
      <c r="M320" s="793">
        <f t="shared" si="18"/>
        <v>0</v>
      </c>
      <c r="N320" s="813"/>
      <c r="O320" s="793">
        <f t="shared" si="19"/>
        <v>0</v>
      </c>
      <c r="P320" s="793">
        <f t="shared" si="20"/>
        <v>0</v>
      </c>
    </row>
    <row r="321" spans="3:16">
      <c r="C321" s="789">
        <f>IF(D267="","-",+C320+1)</f>
        <v>2062</v>
      </c>
      <c r="D321" s="737">
        <f t="shared" si="21"/>
        <v>0</v>
      </c>
      <c r="E321" s="790">
        <f t="shared" si="23"/>
        <v>0</v>
      </c>
      <c r="F321" s="790">
        <f t="shared" si="17"/>
        <v>0</v>
      </c>
      <c r="G321" s="737">
        <f t="shared" si="22"/>
        <v>0</v>
      </c>
      <c r="H321" s="795">
        <f>+J268*G321+E321</f>
        <v>0</v>
      </c>
      <c r="I321" s="796">
        <f>+J269*G321+E321</f>
        <v>0</v>
      </c>
      <c r="J321" s="793">
        <f t="shared" si="24"/>
        <v>0</v>
      </c>
      <c r="K321" s="793"/>
      <c r="L321" s="813"/>
      <c r="M321" s="793">
        <f t="shared" si="18"/>
        <v>0</v>
      </c>
      <c r="N321" s="813"/>
      <c r="O321" s="793">
        <f t="shared" si="19"/>
        <v>0</v>
      </c>
      <c r="P321" s="793">
        <f t="shared" si="20"/>
        <v>0</v>
      </c>
    </row>
    <row r="322" spans="3:16">
      <c r="C322" s="789">
        <f>IF(D267="","-",+C321+1)</f>
        <v>2063</v>
      </c>
      <c r="D322" s="737">
        <f t="shared" si="21"/>
        <v>0</v>
      </c>
      <c r="E322" s="790">
        <f t="shared" si="23"/>
        <v>0</v>
      </c>
      <c r="F322" s="790">
        <f t="shared" si="17"/>
        <v>0</v>
      </c>
      <c r="G322" s="737">
        <f t="shared" si="22"/>
        <v>0</v>
      </c>
      <c r="H322" s="795">
        <f>+J268*G322+E322</f>
        <v>0</v>
      </c>
      <c r="I322" s="796">
        <f>+J269*G322+E322</f>
        <v>0</v>
      </c>
      <c r="J322" s="793">
        <f t="shared" si="24"/>
        <v>0</v>
      </c>
      <c r="K322" s="793"/>
      <c r="L322" s="813"/>
      <c r="M322" s="793">
        <f t="shared" si="18"/>
        <v>0</v>
      </c>
      <c r="N322" s="813"/>
      <c r="O322" s="793">
        <f t="shared" si="19"/>
        <v>0</v>
      </c>
      <c r="P322" s="793">
        <f t="shared" si="20"/>
        <v>0</v>
      </c>
    </row>
    <row r="323" spans="3:16">
      <c r="C323" s="789">
        <f>IF(D267="","-",+C322+1)</f>
        <v>2064</v>
      </c>
      <c r="D323" s="737">
        <f t="shared" si="21"/>
        <v>0</v>
      </c>
      <c r="E323" s="790">
        <f t="shared" si="23"/>
        <v>0</v>
      </c>
      <c r="F323" s="790">
        <f t="shared" si="17"/>
        <v>0</v>
      </c>
      <c r="G323" s="737">
        <f t="shared" si="22"/>
        <v>0</v>
      </c>
      <c r="H323" s="795">
        <f>+J268*G323+E323</f>
        <v>0</v>
      </c>
      <c r="I323" s="796">
        <f>+J269*G323+E323</f>
        <v>0</v>
      </c>
      <c r="J323" s="793">
        <f t="shared" si="24"/>
        <v>0</v>
      </c>
      <c r="K323" s="793"/>
      <c r="L323" s="813"/>
      <c r="M323" s="793">
        <f t="shared" si="18"/>
        <v>0</v>
      </c>
      <c r="N323" s="813"/>
      <c r="O323" s="793">
        <f t="shared" si="19"/>
        <v>0</v>
      </c>
      <c r="P323" s="793">
        <f t="shared" si="20"/>
        <v>0</v>
      </c>
    </row>
    <row r="324" spans="3:16">
      <c r="C324" s="789">
        <f>IF(D267="","-",+C323+1)</f>
        <v>2065</v>
      </c>
      <c r="D324" s="737">
        <f t="shared" si="21"/>
        <v>0</v>
      </c>
      <c r="E324" s="790">
        <f t="shared" si="23"/>
        <v>0</v>
      </c>
      <c r="F324" s="790">
        <f t="shared" si="17"/>
        <v>0</v>
      </c>
      <c r="G324" s="737">
        <f t="shared" si="22"/>
        <v>0</v>
      </c>
      <c r="H324" s="795">
        <f>+J268*G324+E324</f>
        <v>0</v>
      </c>
      <c r="I324" s="796">
        <f>+J269*G324+E324</f>
        <v>0</v>
      </c>
      <c r="J324" s="793">
        <f t="shared" si="24"/>
        <v>0</v>
      </c>
      <c r="K324" s="793"/>
      <c r="L324" s="813"/>
      <c r="M324" s="793">
        <f t="shared" si="18"/>
        <v>0</v>
      </c>
      <c r="N324" s="813"/>
      <c r="O324" s="793">
        <f t="shared" si="19"/>
        <v>0</v>
      </c>
      <c r="P324" s="793">
        <f t="shared" si="20"/>
        <v>0</v>
      </c>
    </row>
    <row r="325" spans="3:16">
      <c r="C325" s="789">
        <f>IF(D267="","-",+C324+1)</f>
        <v>2066</v>
      </c>
      <c r="D325" s="737">
        <f t="shared" si="21"/>
        <v>0</v>
      </c>
      <c r="E325" s="790">
        <f t="shared" si="23"/>
        <v>0</v>
      </c>
      <c r="F325" s="790">
        <f t="shared" si="17"/>
        <v>0</v>
      </c>
      <c r="G325" s="737">
        <f t="shared" si="22"/>
        <v>0</v>
      </c>
      <c r="H325" s="795">
        <f>+J268*G325+E325</f>
        <v>0</v>
      </c>
      <c r="I325" s="796">
        <f>+J269*G325+E325</f>
        <v>0</v>
      </c>
      <c r="J325" s="793">
        <f t="shared" si="24"/>
        <v>0</v>
      </c>
      <c r="K325" s="793"/>
      <c r="L325" s="813"/>
      <c r="M325" s="793">
        <f t="shared" si="18"/>
        <v>0</v>
      </c>
      <c r="N325" s="813"/>
      <c r="O325" s="793">
        <f t="shared" si="19"/>
        <v>0</v>
      </c>
      <c r="P325" s="793">
        <f t="shared" si="20"/>
        <v>0</v>
      </c>
    </row>
    <row r="326" spans="3:16">
      <c r="C326" s="789">
        <f>IF(D267="","-",+C325+1)</f>
        <v>2067</v>
      </c>
      <c r="D326" s="737">
        <f t="shared" si="21"/>
        <v>0</v>
      </c>
      <c r="E326" s="790">
        <f t="shared" si="23"/>
        <v>0</v>
      </c>
      <c r="F326" s="790">
        <f t="shared" si="17"/>
        <v>0</v>
      </c>
      <c r="G326" s="737">
        <f t="shared" si="22"/>
        <v>0</v>
      </c>
      <c r="H326" s="795">
        <f>+J268*G326+E326</f>
        <v>0</v>
      </c>
      <c r="I326" s="796">
        <f>+J269*G326+E326</f>
        <v>0</v>
      </c>
      <c r="J326" s="793">
        <f t="shared" si="24"/>
        <v>0</v>
      </c>
      <c r="K326" s="793"/>
      <c r="L326" s="813"/>
      <c r="M326" s="793">
        <f t="shared" si="18"/>
        <v>0</v>
      </c>
      <c r="N326" s="813"/>
      <c r="O326" s="793">
        <f t="shared" si="19"/>
        <v>0</v>
      </c>
      <c r="P326" s="793">
        <f t="shared" si="20"/>
        <v>0</v>
      </c>
    </row>
    <row r="327" spans="3:16">
      <c r="C327" s="789">
        <f>IF(D267="","-",+C326+1)</f>
        <v>2068</v>
      </c>
      <c r="D327" s="737">
        <f t="shared" ref="D327:D332" si="25">F326</f>
        <v>0</v>
      </c>
      <c r="E327" s="790">
        <f t="shared" si="23"/>
        <v>0</v>
      </c>
      <c r="F327" s="790">
        <f t="shared" si="17"/>
        <v>0</v>
      </c>
      <c r="G327" s="737">
        <f t="shared" si="22"/>
        <v>0</v>
      </c>
      <c r="H327" s="795">
        <f>+J268*G327+E327</f>
        <v>0</v>
      </c>
      <c r="I327" s="796">
        <f>+J269*G327+E327</f>
        <v>0</v>
      </c>
      <c r="J327" s="793">
        <f t="shared" si="24"/>
        <v>0</v>
      </c>
      <c r="K327" s="793"/>
      <c r="L327" s="813"/>
      <c r="M327" s="793">
        <f t="shared" si="18"/>
        <v>0</v>
      </c>
      <c r="N327" s="813"/>
      <c r="O327" s="793">
        <f t="shared" si="19"/>
        <v>0</v>
      </c>
      <c r="P327" s="793">
        <f t="shared" si="20"/>
        <v>0</v>
      </c>
    </row>
    <row r="328" spans="3:16">
      <c r="C328" s="789">
        <f>IF(D267="","-",+C327+1)</f>
        <v>2069</v>
      </c>
      <c r="D328" s="737">
        <f t="shared" si="25"/>
        <v>0</v>
      </c>
      <c r="E328" s="790">
        <f t="shared" si="23"/>
        <v>0</v>
      </c>
      <c r="F328" s="790">
        <f t="shared" si="17"/>
        <v>0</v>
      </c>
      <c r="G328" s="737">
        <f t="shared" si="22"/>
        <v>0</v>
      </c>
      <c r="H328" s="795">
        <f>+J268*G328+E328</f>
        <v>0</v>
      </c>
      <c r="I328" s="796">
        <f>+J269*G328+E328</f>
        <v>0</v>
      </c>
      <c r="J328" s="793">
        <f t="shared" si="24"/>
        <v>0</v>
      </c>
      <c r="K328" s="793"/>
      <c r="L328" s="813"/>
      <c r="M328" s="793">
        <f t="shared" si="18"/>
        <v>0</v>
      </c>
      <c r="N328" s="813"/>
      <c r="O328" s="793">
        <f t="shared" si="19"/>
        <v>0</v>
      </c>
      <c r="P328" s="793">
        <f t="shared" si="20"/>
        <v>0</v>
      </c>
    </row>
    <row r="329" spans="3:16">
      <c r="C329" s="789">
        <f>IF(D267="","-",+C328+1)</f>
        <v>2070</v>
      </c>
      <c r="D329" s="737">
        <f t="shared" si="25"/>
        <v>0</v>
      </c>
      <c r="E329" s="790">
        <f t="shared" si="23"/>
        <v>0</v>
      </c>
      <c r="F329" s="790">
        <f t="shared" si="17"/>
        <v>0</v>
      </c>
      <c r="G329" s="737">
        <f t="shared" si="22"/>
        <v>0</v>
      </c>
      <c r="H329" s="795">
        <f>+J268*G329+E329</f>
        <v>0</v>
      </c>
      <c r="I329" s="796">
        <f>+J269*G329+E329</f>
        <v>0</v>
      </c>
      <c r="J329" s="793">
        <f t="shared" si="24"/>
        <v>0</v>
      </c>
      <c r="K329" s="793"/>
      <c r="L329" s="813"/>
      <c r="M329" s="793">
        <f t="shared" si="18"/>
        <v>0</v>
      </c>
      <c r="N329" s="813"/>
      <c r="O329" s="793">
        <f t="shared" si="19"/>
        <v>0</v>
      </c>
      <c r="P329" s="793">
        <f t="shared" si="20"/>
        <v>0</v>
      </c>
    </row>
    <row r="330" spans="3:16">
      <c r="C330" s="789">
        <f>IF(D267="","-",+C329+1)</f>
        <v>2071</v>
      </c>
      <c r="D330" s="737">
        <f t="shared" si="25"/>
        <v>0</v>
      </c>
      <c r="E330" s="790">
        <f t="shared" si="23"/>
        <v>0</v>
      </c>
      <c r="F330" s="790">
        <f t="shared" si="17"/>
        <v>0</v>
      </c>
      <c r="G330" s="737">
        <f t="shared" si="22"/>
        <v>0</v>
      </c>
      <c r="H330" s="795">
        <f>+J268*G330+E330</f>
        <v>0</v>
      </c>
      <c r="I330" s="796">
        <f>+J269*G330+E330</f>
        <v>0</v>
      </c>
      <c r="J330" s="793">
        <f t="shared" si="24"/>
        <v>0</v>
      </c>
      <c r="K330" s="793"/>
      <c r="L330" s="813"/>
      <c r="M330" s="793">
        <f t="shared" si="18"/>
        <v>0</v>
      </c>
      <c r="N330" s="813"/>
      <c r="O330" s="793">
        <f t="shared" si="19"/>
        <v>0</v>
      </c>
      <c r="P330" s="793">
        <f t="shared" si="20"/>
        <v>0</v>
      </c>
    </row>
    <row r="331" spans="3:16">
      <c r="C331" s="789">
        <f>IF(D267="","-",+C330+1)</f>
        <v>2072</v>
      </c>
      <c r="D331" s="737">
        <f t="shared" si="25"/>
        <v>0</v>
      </c>
      <c r="E331" s="790">
        <f t="shared" si="23"/>
        <v>0</v>
      </c>
      <c r="F331" s="790">
        <f t="shared" si="17"/>
        <v>0</v>
      </c>
      <c r="G331" s="737">
        <f t="shared" si="22"/>
        <v>0</v>
      </c>
      <c r="H331" s="795">
        <f>+J268*G331+E331</f>
        <v>0</v>
      </c>
      <c r="I331" s="796">
        <f>+J269*G331+E331</f>
        <v>0</v>
      </c>
      <c r="J331" s="793">
        <f t="shared" si="24"/>
        <v>0</v>
      </c>
      <c r="K331" s="793"/>
      <c r="L331" s="813"/>
      <c r="M331" s="793">
        <f t="shared" si="18"/>
        <v>0</v>
      </c>
      <c r="N331" s="813"/>
      <c r="O331" s="793">
        <f t="shared" si="19"/>
        <v>0</v>
      </c>
      <c r="P331" s="793">
        <f t="shared" si="20"/>
        <v>0</v>
      </c>
    </row>
    <row r="332" spans="3:16" ht="13.5" thickBot="1">
      <c r="C332" s="799">
        <f>IF(D267="","-",+C331+1)</f>
        <v>2073</v>
      </c>
      <c r="D332" s="800">
        <f t="shared" si="25"/>
        <v>0</v>
      </c>
      <c r="E332" s="801">
        <f t="shared" si="23"/>
        <v>0</v>
      </c>
      <c r="F332" s="801">
        <f t="shared" si="17"/>
        <v>0</v>
      </c>
      <c r="G332" s="800">
        <f t="shared" si="22"/>
        <v>0</v>
      </c>
      <c r="H332" s="802">
        <f>+J268*G332+E332</f>
        <v>0</v>
      </c>
      <c r="I332" s="802">
        <f>+J269*G332+E332</f>
        <v>0</v>
      </c>
      <c r="J332" s="803">
        <f t="shared" si="24"/>
        <v>0</v>
      </c>
      <c r="K332" s="793"/>
      <c r="L332" s="814"/>
      <c r="M332" s="803">
        <f t="shared" si="18"/>
        <v>0</v>
      </c>
      <c r="N332" s="814"/>
      <c r="O332" s="803">
        <f t="shared" si="19"/>
        <v>0</v>
      </c>
      <c r="P332" s="803">
        <f t="shared" si="20"/>
        <v>0</v>
      </c>
    </row>
    <row r="333" spans="3:16">
      <c r="C333" s="737" t="s">
        <v>83</v>
      </c>
      <c r="D333" s="731"/>
      <c r="E333" s="731">
        <f>SUM(E273:E332)</f>
        <v>19597955.440000001</v>
      </c>
      <c r="F333" s="731"/>
      <c r="G333" s="731"/>
      <c r="H333" s="731">
        <f>SUM(H273:H332)</f>
        <v>66492198.087655768</v>
      </c>
      <c r="I333" s="731">
        <f>SUM(I273:I332)</f>
        <v>66492198.087655768</v>
      </c>
      <c r="J333" s="731">
        <f>SUM(J273:J332)</f>
        <v>0</v>
      </c>
      <c r="K333" s="731"/>
      <c r="L333" s="731"/>
      <c r="M333" s="731"/>
      <c r="N333" s="731"/>
      <c r="O333" s="731"/>
    </row>
    <row r="334" spans="3:16">
      <c r="D334" s="539"/>
      <c r="E334" s="314"/>
      <c r="F334" s="314"/>
      <c r="G334" s="314"/>
      <c r="H334" s="314"/>
      <c r="I334" s="709"/>
      <c r="J334" s="709"/>
      <c r="K334" s="731"/>
      <c r="L334" s="709"/>
      <c r="M334" s="709"/>
      <c r="N334" s="709"/>
      <c r="O334" s="709"/>
    </row>
    <row r="335" spans="3:16">
      <c r="C335" s="314" t="s">
        <v>13</v>
      </c>
      <c r="D335" s="539"/>
      <c r="E335" s="314"/>
      <c r="F335" s="314"/>
      <c r="G335" s="314"/>
      <c r="H335" s="314"/>
      <c r="I335" s="709"/>
      <c r="J335" s="709"/>
      <c r="K335" s="731"/>
      <c r="L335" s="709"/>
      <c r="M335" s="709"/>
      <c r="N335" s="709"/>
      <c r="O335" s="709"/>
    </row>
    <row r="336" spans="3:16">
      <c r="C336" s="314"/>
      <c r="D336" s="539"/>
      <c r="E336" s="314"/>
      <c r="F336" s="314"/>
      <c r="G336" s="314"/>
      <c r="H336" s="314"/>
      <c r="I336" s="709"/>
      <c r="J336" s="709"/>
      <c r="K336" s="731"/>
      <c r="L336" s="709"/>
      <c r="M336" s="709"/>
      <c r="N336" s="709"/>
      <c r="O336" s="709"/>
    </row>
    <row r="337" spans="1:17">
      <c r="C337" s="750" t="s">
        <v>14</v>
      </c>
      <c r="D337" s="737"/>
      <c r="E337" s="737"/>
      <c r="F337" s="737"/>
      <c r="G337" s="737"/>
      <c r="H337" s="731"/>
      <c r="I337" s="731"/>
      <c r="J337" s="805"/>
      <c r="K337" s="805"/>
      <c r="L337" s="805"/>
      <c r="M337" s="805"/>
      <c r="N337" s="805"/>
      <c r="O337" s="805"/>
    </row>
    <row r="338" spans="1:17">
      <c r="C338" s="736" t="s">
        <v>263</v>
      </c>
      <c r="D338" s="737"/>
      <c r="E338" s="737"/>
      <c r="F338" s="737"/>
      <c r="G338" s="737"/>
      <c r="H338" s="731"/>
      <c r="I338" s="731"/>
      <c r="J338" s="805"/>
      <c r="K338" s="805"/>
      <c r="L338" s="805"/>
      <c r="M338" s="805"/>
      <c r="N338" s="805"/>
      <c r="O338" s="805"/>
    </row>
    <row r="339" spans="1:17">
      <c r="C339" s="736" t="s">
        <v>84</v>
      </c>
      <c r="D339" s="737"/>
      <c r="E339" s="737"/>
      <c r="F339" s="737"/>
      <c r="G339" s="737"/>
      <c r="H339" s="731"/>
      <c r="I339" s="731"/>
      <c r="J339" s="805"/>
      <c r="K339" s="805"/>
      <c r="L339" s="805"/>
      <c r="M339" s="805"/>
      <c r="N339" s="805"/>
      <c r="O339" s="805"/>
    </row>
    <row r="341" spans="1:17" ht="20.25">
      <c r="A341" s="738" t="str">
        <f>""&amp;A266&amp;" Worksheet K -  ATRR TRUE-UP Calculation for PJM Projects Charged to Benefiting Zones"</f>
        <v xml:space="preserve"> Worksheet K -  ATRR TRUE-UP Calculation for PJM Projects Charged to Benefiting Zones</v>
      </c>
      <c r="B341" s="348"/>
      <c r="C341" s="726"/>
      <c r="D341" s="539"/>
      <c r="E341" s="314"/>
      <c r="F341" s="708"/>
      <c r="G341" s="708"/>
      <c r="H341" s="314"/>
      <c r="I341" s="709"/>
      <c r="L341" s="565"/>
      <c r="M341" s="565"/>
      <c r="N341" s="565"/>
      <c r="O341" s="654" t="str">
        <f>"Page "&amp;SUM(Q$8:Q341)&amp;" of "</f>
        <v xml:space="preserve">Page 5 of </v>
      </c>
      <c r="P341" s="655">
        <f>COUNT(Q$8:Q$57702)</f>
        <v>12</v>
      </c>
      <c r="Q341" s="739">
        <v>1</v>
      </c>
    </row>
    <row r="342" spans="1:17">
      <c r="B342" s="348"/>
      <c r="C342" s="314"/>
      <c r="D342" s="539"/>
      <c r="E342" s="314"/>
      <c r="F342" s="314"/>
      <c r="G342" s="314"/>
      <c r="H342" s="314"/>
      <c r="I342" s="709"/>
      <c r="J342" s="314"/>
      <c r="K342" s="427"/>
    </row>
    <row r="343" spans="1:17" ht="18">
      <c r="B343" s="658" t="s">
        <v>466</v>
      </c>
      <c r="C343" s="740" t="s">
        <v>85</v>
      </c>
      <c r="D343" s="539"/>
      <c r="E343" s="314"/>
      <c r="F343" s="314"/>
      <c r="G343" s="314"/>
      <c r="H343" s="314"/>
      <c r="I343" s="709"/>
      <c r="J343" s="709"/>
      <c r="K343" s="731"/>
      <c r="L343" s="709"/>
      <c r="M343" s="709"/>
      <c r="N343" s="709"/>
      <c r="O343" s="709"/>
    </row>
    <row r="344" spans="1:17" ht="18.75">
      <c r="B344" s="658"/>
      <c r="C344" s="657"/>
      <c r="D344" s="539"/>
      <c r="E344" s="314"/>
      <c r="F344" s="314"/>
      <c r="G344" s="314"/>
      <c r="H344" s="314"/>
      <c r="I344" s="709"/>
      <c r="J344" s="709"/>
      <c r="K344" s="731"/>
      <c r="L344" s="709"/>
      <c r="M344" s="709"/>
      <c r="N344" s="709"/>
      <c r="O344" s="709"/>
    </row>
    <row r="345" spans="1:17" ht="18.75">
      <c r="B345" s="658"/>
      <c r="C345" s="657" t="s">
        <v>86</v>
      </c>
      <c r="D345" s="539"/>
      <c r="E345" s="314"/>
      <c r="F345" s="314"/>
      <c r="G345" s="314"/>
      <c r="H345" s="314"/>
      <c r="I345" s="709"/>
      <c r="J345" s="709"/>
      <c r="K345" s="731"/>
      <c r="L345" s="709"/>
      <c r="M345" s="709"/>
      <c r="N345" s="709"/>
      <c r="O345" s="709"/>
    </row>
    <row r="346" spans="1:17" ht="15.75" thickBot="1">
      <c r="C346" s="240"/>
      <c r="D346" s="539"/>
      <c r="E346" s="314"/>
      <c r="F346" s="314"/>
      <c r="G346" s="314"/>
      <c r="H346" s="314"/>
      <c r="I346" s="709"/>
      <c r="J346" s="709"/>
      <c r="K346" s="731"/>
      <c r="L346" s="709"/>
      <c r="M346" s="709"/>
      <c r="N346" s="709"/>
      <c r="O346" s="709"/>
    </row>
    <row r="347" spans="1:17" ht="15.75">
      <c r="C347" s="660" t="s">
        <v>87</v>
      </c>
      <c r="D347" s="539"/>
      <c r="E347" s="314"/>
      <c r="F347" s="314"/>
      <c r="G347" s="314"/>
      <c r="H347" s="807"/>
      <c r="I347" s="314" t="s">
        <v>66</v>
      </c>
      <c r="J347" s="314"/>
      <c r="K347" s="427"/>
      <c r="L347" s="836">
        <f>+J353</f>
        <v>2022</v>
      </c>
      <c r="M347" s="817" t="s">
        <v>45</v>
      </c>
      <c r="N347" s="817" t="s">
        <v>46</v>
      </c>
      <c r="O347" s="818" t="s">
        <v>47</v>
      </c>
    </row>
    <row r="348" spans="1:17" ht="15.75">
      <c r="C348" s="660"/>
      <c r="D348" s="539"/>
      <c r="E348" s="314"/>
      <c r="F348" s="314"/>
      <c r="H348" s="314"/>
      <c r="I348" s="745"/>
      <c r="J348" s="745"/>
      <c r="K348" s="746"/>
      <c r="L348" s="837" t="s">
        <v>235</v>
      </c>
      <c r="M348" s="838">
        <f>VLOOKUP(J353,C360:P419,10)</f>
        <v>6503254.2092988743</v>
      </c>
      <c r="N348" s="838">
        <f>VLOOKUP(J353,C360:P419,12)</f>
        <v>6503254.2092988743</v>
      </c>
      <c r="O348" s="839">
        <f>+N348-M348</f>
        <v>0</v>
      </c>
    </row>
    <row r="349" spans="1:17" ht="12.95" customHeight="1">
      <c r="C349" s="750" t="s">
        <v>88</v>
      </c>
      <c r="D349" s="1567" t="s">
        <v>814</v>
      </c>
      <c r="E349" s="1567"/>
      <c r="F349" s="1567"/>
      <c r="G349" s="1567"/>
      <c r="H349" s="1567"/>
      <c r="I349" s="1567"/>
      <c r="J349" s="709"/>
      <c r="K349" s="731"/>
      <c r="L349" s="837" t="s">
        <v>236</v>
      </c>
      <c r="M349" s="840">
        <f>VLOOKUP(J353,C360:P419,6)</f>
        <v>6614961.690567744</v>
      </c>
      <c r="N349" s="840">
        <f>VLOOKUP(J353,C360:P419,7)</f>
        <v>6614961.690567744</v>
      </c>
      <c r="O349" s="841">
        <f>+N349-M349</f>
        <v>0</v>
      </c>
    </row>
    <row r="350" spans="1:17" ht="13.5" customHeight="1" thickBot="1">
      <c r="C350" s="754"/>
      <c r="D350" s="1567"/>
      <c r="E350" s="1567"/>
      <c r="F350" s="1567"/>
      <c r="G350" s="1567"/>
      <c r="H350" s="1567"/>
      <c r="I350" s="1567"/>
      <c r="J350" s="709"/>
      <c r="K350" s="731"/>
      <c r="L350" s="773" t="s">
        <v>237</v>
      </c>
      <c r="M350" s="842">
        <f>+M349-M348</f>
        <v>111707.48126886971</v>
      </c>
      <c r="N350" s="842">
        <f>+N349-N348</f>
        <v>111707.48126886971</v>
      </c>
      <c r="O350" s="843">
        <f>+O349-O348</f>
        <v>0</v>
      </c>
    </row>
    <row r="351" spans="1:17" ht="13.5" thickBot="1">
      <c r="C351" s="757"/>
      <c r="D351" s="758"/>
      <c r="E351" s="756"/>
      <c r="F351" s="756"/>
      <c r="G351" s="756"/>
      <c r="H351" s="756"/>
      <c r="I351" s="756"/>
      <c r="J351" s="756"/>
      <c r="K351" s="759"/>
      <c r="L351" s="756"/>
      <c r="M351" s="756"/>
      <c r="N351" s="756"/>
      <c r="O351" s="756"/>
      <c r="P351" s="348"/>
    </row>
    <row r="352" spans="1:17" ht="13.5" thickBot="1">
      <c r="C352" s="760" t="s">
        <v>89</v>
      </c>
      <c r="D352" s="761"/>
      <c r="E352" s="761"/>
      <c r="F352" s="761"/>
      <c r="G352" s="761"/>
      <c r="H352" s="761"/>
      <c r="I352" s="761"/>
      <c r="J352" s="761"/>
      <c r="K352" s="763"/>
      <c r="P352" s="764"/>
    </row>
    <row r="353" spans="2:16" ht="15">
      <c r="C353" s="765" t="s">
        <v>67</v>
      </c>
      <c r="D353" s="809">
        <v>56691967.57</v>
      </c>
      <c r="E353" s="726" t="s">
        <v>68</v>
      </c>
      <c r="H353" s="766"/>
      <c r="I353" s="766"/>
      <c r="J353" s="767">
        <f>$J$93</f>
        <v>2022</v>
      </c>
      <c r="K353" s="555"/>
      <c r="L353" s="1569" t="s">
        <v>69</v>
      </c>
      <c r="M353" s="1569"/>
      <c r="N353" s="1569"/>
      <c r="O353" s="1569"/>
      <c r="P353" s="427"/>
    </row>
    <row r="354" spans="2:16">
      <c r="C354" s="765" t="s">
        <v>70</v>
      </c>
      <c r="D354" s="810">
        <v>2015</v>
      </c>
      <c r="E354" s="765" t="s">
        <v>71</v>
      </c>
      <c r="F354" s="766"/>
      <c r="G354" s="766"/>
      <c r="I354" s="173"/>
      <c r="J354" s="811">
        <f>IF(H347="",0,$F$17)</f>
        <v>0</v>
      </c>
      <c r="K354" s="768"/>
      <c r="L354" s="731" t="s">
        <v>277</v>
      </c>
      <c r="P354" s="427"/>
    </row>
    <row r="355" spans="2:16">
      <c r="C355" s="765" t="s">
        <v>72</v>
      </c>
      <c r="D355" s="809">
        <v>6</v>
      </c>
      <c r="E355" s="765" t="s">
        <v>73</v>
      </c>
      <c r="F355" s="766"/>
      <c r="G355" s="766"/>
      <c r="I355" s="173"/>
      <c r="J355" s="769">
        <f>$F$70</f>
        <v>0.11129362813814259</v>
      </c>
      <c r="K355" s="770"/>
      <c r="L355" s="314" t="str">
        <f>"          INPUT TRUE-UP ARR (WITH &amp; WITHOUT INCENTIVES) FROM EACH PRIOR YEAR"</f>
        <v xml:space="preserve">          INPUT TRUE-UP ARR (WITH &amp; WITHOUT INCENTIVES) FROM EACH PRIOR YEAR</v>
      </c>
      <c r="P355" s="427"/>
    </row>
    <row r="356" spans="2:16">
      <c r="C356" s="765" t="s">
        <v>74</v>
      </c>
      <c r="D356" s="771">
        <f>H$79</f>
        <v>41</v>
      </c>
      <c r="E356" s="765" t="s">
        <v>75</v>
      </c>
      <c r="F356" s="766"/>
      <c r="G356" s="766"/>
      <c r="I356" s="173"/>
      <c r="J356" s="769">
        <f>IF(H347="",+J355,$F$69)</f>
        <v>0.11129362813814259</v>
      </c>
      <c r="K356" s="772"/>
      <c r="L356" s="314" t="s">
        <v>157</v>
      </c>
      <c r="M356" s="772"/>
      <c r="N356" s="772"/>
      <c r="O356" s="772"/>
      <c r="P356" s="427"/>
    </row>
    <row r="357" spans="2:16" ht="13.5" thickBot="1">
      <c r="C357" s="765" t="s">
        <v>76</v>
      </c>
      <c r="D357" s="808" t="s">
        <v>811</v>
      </c>
      <c r="E357" s="773" t="s">
        <v>77</v>
      </c>
      <c r="F357" s="774"/>
      <c r="G357" s="774"/>
      <c r="H357" s="775"/>
      <c r="I357" s="775"/>
      <c r="J357" s="753">
        <f>IF(D353=0,0,D353/D356)</f>
        <v>1382730.9163414633</v>
      </c>
      <c r="K357" s="731"/>
      <c r="L357" s="731" t="s">
        <v>158</v>
      </c>
      <c r="M357" s="731"/>
      <c r="N357" s="731"/>
      <c r="O357" s="731"/>
      <c r="P357" s="427"/>
    </row>
    <row r="358" spans="2:16" ht="38.25">
      <c r="B358" s="846"/>
      <c r="C358" s="776" t="s">
        <v>67</v>
      </c>
      <c r="D358" s="777" t="s">
        <v>78</v>
      </c>
      <c r="E358" s="778" t="s">
        <v>79</v>
      </c>
      <c r="F358" s="777" t="s">
        <v>80</v>
      </c>
      <c r="G358" s="777" t="s">
        <v>238</v>
      </c>
      <c r="H358" s="778" t="s">
        <v>151</v>
      </c>
      <c r="I358" s="779" t="s">
        <v>151</v>
      </c>
      <c r="J358" s="776" t="s">
        <v>90</v>
      </c>
      <c r="K358" s="780"/>
      <c r="L358" s="778" t="s">
        <v>153</v>
      </c>
      <c r="M358" s="778" t="s">
        <v>159</v>
      </c>
      <c r="N358" s="778" t="s">
        <v>153</v>
      </c>
      <c r="O358" s="778" t="s">
        <v>161</v>
      </c>
      <c r="P358" s="778" t="s">
        <v>81</v>
      </c>
    </row>
    <row r="359" spans="2:16" ht="13.5" thickBot="1">
      <c r="C359" s="782" t="s">
        <v>469</v>
      </c>
      <c r="D359" s="783" t="s">
        <v>470</v>
      </c>
      <c r="E359" s="782" t="s">
        <v>363</v>
      </c>
      <c r="F359" s="783" t="s">
        <v>470</v>
      </c>
      <c r="G359" s="783" t="s">
        <v>470</v>
      </c>
      <c r="H359" s="784" t="s">
        <v>93</v>
      </c>
      <c r="I359" s="785" t="s">
        <v>95</v>
      </c>
      <c r="J359" s="786" t="s">
        <v>15</v>
      </c>
      <c r="K359" s="787"/>
      <c r="L359" s="784" t="s">
        <v>82</v>
      </c>
      <c r="M359" s="784" t="s">
        <v>82</v>
      </c>
      <c r="N359" s="784" t="s">
        <v>255</v>
      </c>
      <c r="O359" s="784" t="s">
        <v>255</v>
      </c>
      <c r="P359" s="784" t="s">
        <v>255</v>
      </c>
    </row>
    <row r="360" spans="2:16">
      <c r="C360" s="789">
        <f>IF(D354= "","-",D354)</f>
        <v>2015</v>
      </c>
      <c r="D360" s="737">
        <f>+D353</f>
        <v>56691967.57</v>
      </c>
      <c r="E360" s="795">
        <f>+J357/12*(12-D355)</f>
        <v>691365.45817073167</v>
      </c>
      <c r="F360" s="844">
        <f t="shared" ref="F360:F419" si="26">+D360-E360</f>
        <v>56000602.111829266</v>
      </c>
      <c r="G360" s="737">
        <f>+(D360+F360)/2</f>
        <v>56346284.840914637</v>
      </c>
      <c r="H360" s="791">
        <f>+J355*G360+E360</f>
        <v>6962347.9302213462</v>
      </c>
      <c r="I360" s="792">
        <f>+J356*G360+E360</f>
        <v>6962347.9302213462</v>
      </c>
      <c r="J360" s="793">
        <f>+I360-H360</f>
        <v>0</v>
      </c>
      <c r="K360" s="793"/>
      <c r="L360" s="812">
        <v>6946099</v>
      </c>
      <c r="M360" s="845">
        <f t="shared" ref="M360:M419" si="27">IF(L360&lt;&gt;0,+H360-L360,0)</f>
        <v>16248.930221346207</v>
      </c>
      <c r="N360" s="812">
        <v>6946099</v>
      </c>
      <c r="O360" s="845">
        <f t="shared" ref="O360:O419" si="28">IF(N360&lt;&gt;0,+I360-N360,0)</f>
        <v>16248.930221346207</v>
      </c>
      <c r="P360" s="845">
        <f t="shared" ref="P360:P419" si="29">+O360-M360</f>
        <v>0</v>
      </c>
    </row>
    <row r="361" spans="2:16">
      <c r="C361" s="789">
        <f>IF(D354="","-",+C360+1)</f>
        <v>2016</v>
      </c>
      <c r="D361" s="737">
        <f t="shared" ref="D361:D413" si="30">F360</f>
        <v>56000602.111829266</v>
      </c>
      <c r="E361" s="790">
        <f>IF(D361&gt;$J$357,$J$357,D361)</f>
        <v>1382730.9163414633</v>
      </c>
      <c r="F361" s="790">
        <f t="shared" si="26"/>
        <v>54617871.195487805</v>
      </c>
      <c r="G361" s="737">
        <f t="shared" ref="G361:G419" si="31">+(D361+F361)/2</f>
        <v>55309236.653658539</v>
      </c>
      <c r="H361" s="795">
        <f>+J355*G361+E361</f>
        <v>7538296.5330782626</v>
      </c>
      <c r="I361" s="796">
        <f>+J356*G361+E361</f>
        <v>7538296.5330782626</v>
      </c>
      <c r="J361" s="793">
        <f>+I361-H361</f>
        <v>0</v>
      </c>
      <c r="K361" s="793"/>
      <c r="L361" s="813">
        <v>6500748</v>
      </c>
      <c r="M361" s="793">
        <f t="shared" si="27"/>
        <v>1037548.5330782626</v>
      </c>
      <c r="N361" s="813">
        <v>6500748</v>
      </c>
      <c r="O361" s="793">
        <f t="shared" si="28"/>
        <v>1037548.5330782626</v>
      </c>
      <c r="P361" s="793">
        <f t="shared" si="29"/>
        <v>0</v>
      </c>
    </row>
    <row r="362" spans="2:16">
      <c r="C362" s="789">
        <f>IF(D354="","-",+C361+1)</f>
        <v>2017</v>
      </c>
      <c r="D362" s="737">
        <f t="shared" si="30"/>
        <v>54617871.195487805</v>
      </c>
      <c r="E362" s="790">
        <f t="shared" ref="E362:E419" si="32">IF(D362&gt;$J$357,$J$357,D362)</f>
        <v>1382730.9163414633</v>
      </c>
      <c r="F362" s="790">
        <f t="shared" si="26"/>
        <v>53235140.279146343</v>
      </c>
      <c r="G362" s="737">
        <f t="shared" si="31"/>
        <v>53926505.73731707</v>
      </c>
      <c r="H362" s="795">
        <f>+J355*G362+E362</f>
        <v>7384407.392659842</v>
      </c>
      <c r="I362" s="796">
        <f>+J356*G362+E362</f>
        <v>7384407.392659842</v>
      </c>
      <c r="J362" s="793">
        <f t="shared" ref="J362:J419" si="33">+I362-H362</f>
        <v>0</v>
      </c>
      <c r="K362" s="793"/>
      <c r="L362" s="813">
        <v>7102318</v>
      </c>
      <c r="M362" s="793">
        <f t="shared" si="27"/>
        <v>282089.39265984204</v>
      </c>
      <c r="N362" s="813">
        <v>7102318</v>
      </c>
      <c r="O362" s="793">
        <f t="shared" si="28"/>
        <v>282089.39265984204</v>
      </c>
      <c r="P362" s="793">
        <f t="shared" si="29"/>
        <v>0</v>
      </c>
    </row>
    <row r="363" spans="2:16">
      <c r="C363" s="789">
        <f>IF(D354="","-",+C362+1)</f>
        <v>2018</v>
      </c>
      <c r="D363" s="1377">
        <f t="shared" si="30"/>
        <v>53235140.279146343</v>
      </c>
      <c r="E363" s="790">
        <f t="shared" si="32"/>
        <v>1382730.9163414633</v>
      </c>
      <c r="F363" s="790">
        <f t="shared" si="26"/>
        <v>51852409.362804882</v>
      </c>
      <c r="G363" s="737">
        <f t="shared" si="31"/>
        <v>52543774.820975617</v>
      </c>
      <c r="H363" s="795">
        <f>+J355*G363+E363</f>
        <v>7230518.2522414234</v>
      </c>
      <c r="I363" s="796">
        <f>+J356*G363+E363</f>
        <v>7230518.2522414234</v>
      </c>
      <c r="J363" s="793">
        <f t="shared" si="33"/>
        <v>0</v>
      </c>
      <c r="K363" s="793"/>
      <c r="L363" s="813">
        <v>6178627</v>
      </c>
      <c r="M363" s="793">
        <f t="shared" si="27"/>
        <v>1051891.2522414234</v>
      </c>
      <c r="N363" s="813">
        <v>6178627</v>
      </c>
      <c r="O363" s="793">
        <f t="shared" si="28"/>
        <v>1051891.2522414234</v>
      </c>
      <c r="P363" s="793">
        <f t="shared" si="29"/>
        <v>0</v>
      </c>
    </row>
    <row r="364" spans="2:16">
      <c r="C364" s="789">
        <f>IF(D354="","-",+C363+1)</f>
        <v>2019</v>
      </c>
      <c r="D364" s="737">
        <f t="shared" si="30"/>
        <v>51852409.362804882</v>
      </c>
      <c r="E364" s="790">
        <f t="shared" si="32"/>
        <v>1382730.9163414633</v>
      </c>
      <c r="F364" s="790">
        <f t="shared" si="26"/>
        <v>50469678.446463421</v>
      </c>
      <c r="G364" s="737">
        <f t="shared" si="31"/>
        <v>51161043.904634148</v>
      </c>
      <c r="H364" s="795">
        <f>+J355*G364+E364</f>
        <v>7076629.1118230028</v>
      </c>
      <c r="I364" s="796">
        <f>+J356*G364+E364</f>
        <v>7076629.1118230028</v>
      </c>
      <c r="J364" s="793">
        <f t="shared" si="33"/>
        <v>0</v>
      </c>
      <c r="K364" s="793"/>
      <c r="L364" s="813">
        <v>6583555.7758725211</v>
      </c>
      <c r="M364" s="793">
        <f t="shared" si="27"/>
        <v>493073.33595048171</v>
      </c>
      <c r="N364" s="813">
        <v>6583555.7758725211</v>
      </c>
      <c r="O364" s="793">
        <f t="shared" si="28"/>
        <v>493073.33595048171</v>
      </c>
      <c r="P364" s="793">
        <f t="shared" si="29"/>
        <v>0</v>
      </c>
    </row>
    <row r="365" spans="2:16">
      <c r="C365" s="789">
        <f>IF(D354="","-",+C364+1)</f>
        <v>2020</v>
      </c>
      <c r="D365" s="737">
        <f t="shared" si="30"/>
        <v>50469678.446463421</v>
      </c>
      <c r="E365" s="790">
        <f t="shared" si="32"/>
        <v>1382730.9163414633</v>
      </c>
      <c r="F365" s="790">
        <f t="shared" si="26"/>
        <v>49086947.53012196</v>
      </c>
      <c r="G365" s="737">
        <f t="shared" si="31"/>
        <v>49778312.988292694</v>
      </c>
      <c r="H365" s="795">
        <f>+J355*G365+E365</f>
        <v>6922739.9714045832</v>
      </c>
      <c r="I365" s="796">
        <f>+J356*G365+E365</f>
        <v>6922739.9714045832</v>
      </c>
      <c r="J365" s="793">
        <f t="shared" si="33"/>
        <v>0</v>
      </c>
      <c r="K365" s="793"/>
      <c r="L365" s="813">
        <v>6500519.2814137693</v>
      </c>
      <c r="M365" s="793">
        <f t="shared" si="27"/>
        <v>422220.68999081384</v>
      </c>
      <c r="N365" s="813">
        <v>6500519.2814137693</v>
      </c>
      <c r="O365" s="793">
        <f t="shared" si="28"/>
        <v>422220.68999081384</v>
      </c>
      <c r="P365" s="793">
        <f t="shared" si="29"/>
        <v>0</v>
      </c>
    </row>
    <row r="366" spans="2:16">
      <c r="C366" s="789">
        <f>IF(D354="","-",+C365+1)</f>
        <v>2021</v>
      </c>
      <c r="D366" s="737">
        <f t="shared" si="30"/>
        <v>49086947.53012196</v>
      </c>
      <c r="E366" s="790">
        <f t="shared" si="32"/>
        <v>1382730.9163414633</v>
      </c>
      <c r="F366" s="790">
        <f t="shared" si="26"/>
        <v>47704216.613780499</v>
      </c>
      <c r="G366" s="737">
        <f t="shared" si="31"/>
        <v>48395582.071951225</v>
      </c>
      <c r="H366" s="795">
        <f>+J355*G366+E366</f>
        <v>6768850.8309861626</v>
      </c>
      <c r="I366" s="796">
        <f>+J356*G366+E366</f>
        <v>6768850.8309861626</v>
      </c>
      <c r="J366" s="793">
        <f t="shared" si="33"/>
        <v>0</v>
      </c>
      <c r="K366" s="793"/>
      <c r="L366" s="813">
        <v>6524272.7323046168</v>
      </c>
      <c r="M366" s="793">
        <f t="shared" si="27"/>
        <v>244578.09868154582</v>
      </c>
      <c r="N366" s="813">
        <v>6524272.7323046168</v>
      </c>
      <c r="O366" s="793">
        <f t="shared" si="28"/>
        <v>244578.09868154582</v>
      </c>
      <c r="P366" s="793">
        <f t="shared" si="29"/>
        <v>0</v>
      </c>
    </row>
    <row r="367" spans="2:16">
      <c r="C367" s="789">
        <f>IF(D354="","-",+C366+1)</f>
        <v>2022</v>
      </c>
      <c r="D367" s="737">
        <f t="shared" si="30"/>
        <v>47704216.613780499</v>
      </c>
      <c r="E367" s="790">
        <f t="shared" si="32"/>
        <v>1382730.9163414633</v>
      </c>
      <c r="F367" s="790">
        <f t="shared" si="26"/>
        <v>46321485.697439037</v>
      </c>
      <c r="G367" s="737">
        <f t="shared" si="31"/>
        <v>47012851.155609772</v>
      </c>
      <c r="H367" s="795">
        <f>+J355*G367+E367</f>
        <v>6614961.690567744</v>
      </c>
      <c r="I367" s="796">
        <f>+J356*G367+E367</f>
        <v>6614961.690567744</v>
      </c>
      <c r="J367" s="793">
        <f t="shared" si="33"/>
        <v>0</v>
      </c>
      <c r="K367" s="793"/>
      <c r="L367" s="813">
        <v>6503254.2092988743</v>
      </c>
      <c r="M367" s="793">
        <f t="shared" si="27"/>
        <v>111707.48126886971</v>
      </c>
      <c r="N367" s="813">
        <v>6503254.2092988743</v>
      </c>
      <c r="O367" s="793">
        <f t="shared" si="28"/>
        <v>111707.48126886971</v>
      </c>
      <c r="P367" s="793">
        <f t="shared" si="29"/>
        <v>0</v>
      </c>
    </row>
    <row r="368" spans="2:16">
      <c r="C368" s="789">
        <f>IF(D354="","-",+C367+1)</f>
        <v>2023</v>
      </c>
      <c r="D368" s="737">
        <f t="shared" si="30"/>
        <v>46321485.697439037</v>
      </c>
      <c r="E368" s="790">
        <f t="shared" si="32"/>
        <v>1382730.9163414633</v>
      </c>
      <c r="F368" s="790">
        <f t="shared" si="26"/>
        <v>44938754.781097576</v>
      </c>
      <c r="G368" s="737">
        <f t="shared" si="31"/>
        <v>45630120.239268303</v>
      </c>
      <c r="H368" s="795">
        <f>+J355*G368+E368</f>
        <v>6461072.5501493234</v>
      </c>
      <c r="I368" s="796">
        <f>+J356*G368+E368</f>
        <v>6461072.5501493234</v>
      </c>
      <c r="J368" s="793">
        <f t="shared" si="33"/>
        <v>0</v>
      </c>
      <c r="K368" s="793"/>
      <c r="L368" s="813"/>
      <c r="M368" s="793">
        <f t="shared" si="27"/>
        <v>0</v>
      </c>
      <c r="N368" s="813"/>
      <c r="O368" s="793">
        <f t="shared" si="28"/>
        <v>0</v>
      </c>
      <c r="P368" s="793">
        <f t="shared" si="29"/>
        <v>0</v>
      </c>
    </row>
    <row r="369" spans="3:16">
      <c r="C369" s="789">
        <f>IF(D354="","-",+C368+1)</f>
        <v>2024</v>
      </c>
      <c r="D369" s="737">
        <f t="shared" si="30"/>
        <v>44938754.781097576</v>
      </c>
      <c r="E369" s="790">
        <f t="shared" si="32"/>
        <v>1382730.9163414633</v>
      </c>
      <c r="F369" s="790">
        <f t="shared" si="26"/>
        <v>43556023.864756115</v>
      </c>
      <c r="G369" s="737">
        <f t="shared" si="31"/>
        <v>44247389.322926849</v>
      </c>
      <c r="H369" s="795">
        <f>+J355*G369+E369</f>
        <v>6307183.4097309047</v>
      </c>
      <c r="I369" s="796">
        <f>+J356*G369+E369</f>
        <v>6307183.4097309047</v>
      </c>
      <c r="J369" s="793">
        <f t="shared" si="33"/>
        <v>0</v>
      </c>
      <c r="K369" s="793"/>
      <c r="L369" s="813"/>
      <c r="M369" s="793">
        <f t="shared" si="27"/>
        <v>0</v>
      </c>
      <c r="N369" s="813"/>
      <c r="O369" s="793">
        <f t="shared" si="28"/>
        <v>0</v>
      </c>
      <c r="P369" s="793">
        <f t="shared" si="29"/>
        <v>0</v>
      </c>
    </row>
    <row r="370" spans="3:16">
      <c r="C370" s="789">
        <f>IF(D354="","-",+C369+1)</f>
        <v>2025</v>
      </c>
      <c r="D370" s="737">
        <f t="shared" si="30"/>
        <v>43556023.864756115</v>
      </c>
      <c r="E370" s="790">
        <f t="shared" si="32"/>
        <v>1382730.9163414633</v>
      </c>
      <c r="F370" s="790">
        <f t="shared" si="26"/>
        <v>42173292.948414654</v>
      </c>
      <c r="G370" s="737">
        <f t="shared" si="31"/>
        <v>42864658.40658538</v>
      </c>
      <c r="H370" s="795">
        <f>+J355*G370+E370</f>
        <v>6153294.2693124842</v>
      </c>
      <c r="I370" s="796">
        <f>+J356*G370+E370</f>
        <v>6153294.2693124842</v>
      </c>
      <c r="J370" s="793">
        <f t="shared" si="33"/>
        <v>0</v>
      </c>
      <c r="K370" s="793"/>
      <c r="L370" s="813"/>
      <c r="M370" s="793">
        <f t="shared" si="27"/>
        <v>0</v>
      </c>
      <c r="N370" s="813"/>
      <c r="O370" s="793">
        <f t="shared" si="28"/>
        <v>0</v>
      </c>
      <c r="P370" s="793">
        <f t="shared" si="29"/>
        <v>0</v>
      </c>
    </row>
    <row r="371" spans="3:16">
      <c r="C371" s="789">
        <f>IF(D354="","-",+C370+1)</f>
        <v>2026</v>
      </c>
      <c r="D371" s="737">
        <f t="shared" si="30"/>
        <v>42173292.948414654</v>
      </c>
      <c r="E371" s="790">
        <f t="shared" si="32"/>
        <v>1382730.9163414633</v>
      </c>
      <c r="F371" s="790">
        <f t="shared" si="26"/>
        <v>40790562.032073192</v>
      </c>
      <c r="G371" s="737">
        <f t="shared" si="31"/>
        <v>41481927.490243927</v>
      </c>
      <c r="H371" s="795">
        <f>+J355*G371+E371</f>
        <v>5999405.1288940655</v>
      </c>
      <c r="I371" s="796">
        <f>+J356*G371+E371</f>
        <v>5999405.1288940655</v>
      </c>
      <c r="J371" s="793">
        <f t="shared" si="33"/>
        <v>0</v>
      </c>
      <c r="K371" s="793"/>
      <c r="L371" s="813"/>
      <c r="M371" s="793">
        <f t="shared" si="27"/>
        <v>0</v>
      </c>
      <c r="N371" s="813"/>
      <c r="O371" s="793">
        <f t="shared" si="28"/>
        <v>0</v>
      </c>
      <c r="P371" s="793">
        <f t="shared" si="29"/>
        <v>0</v>
      </c>
    </row>
    <row r="372" spans="3:16">
      <c r="C372" s="789">
        <f>IF(D354="","-",+C371+1)</f>
        <v>2027</v>
      </c>
      <c r="D372" s="737">
        <f t="shared" si="30"/>
        <v>40790562.032073192</v>
      </c>
      <c r="E372" s="790">
        <f t="shared" si="32"/>
        <v>1382730.9163414633</v>
      </c>
      <c r="F372" s="790">
        <f t="shared" si="26"/>
        <v>39407831.115731731</v>
      </c>
      <c r="G372" s="737">
        <f t="shared" si="31"/>
        <v>40099196.573902458</v>
      </c>
      <c r="H372" s="795">
        <f>+J355*G372+E372</f>
        <v>5845515.988475644</v>
      </c>
      <c r="I372" s="796">
        <f>+J356*G372+E372</f>
        <v>5845515.988475644</v>
      </c>
      <c r="J372" s="793">
        <f t="shared" si="33"/>
        <v>0</v>
      </c>
      <c r="K372" s="793"/>
      <c r="L372" s="813"/>
      <c r="M372" s="793">
        <f t="shared" si="27"/>
        <v>0</v>
      </c>
      <c r="N372" s="813"/>
      <c r="O372" s="793">
        <f t="shared" si="28"/>
        <v>0</v>
      </c>
      <c r="P372" s="793">
        <f t="shared" si="29"/>
        <v>0</v>
      </c>
    </row>
    <row r="373" spans="3:16">
      <c r="C373" s="789">
        <f>IF(D354="","-",+C372+1)</f>
        <v>2028</v>
      </c>
      <c r="D373" s="737">
        <f t="shared" si="30"/>
        <v>39407831.115731731</v>
      </c>
      <c r="E373" s="790">
        <f t="shared" si="32"/>
        <v>1382730.9163414633</v>
      </c>
      <c r="F373" s="790">
        <f t="shared" si="26"/>
        <v>38025100.19939027</v>
      </c>
      <c r="G373" s="737">
        <f t="shared" si="31"/>
        <v>38716465.657561004</v>
      </c>
      <c r="H373" s="795">
        <f>+J355*G373+E373</f>
        <v>5691626.8480572253</v>
      </c>
      <c r="I373" s="796">
        <f>+J356*G373+E373</f>
        <v>5691626.8480572253</v>
      </c>
      <c r="J373" s="793">
        <f t="shared" si="33"/>
        <v>0</v>
      </c>
      <c r="K373" s="793"/>
      <c r="L373" s="813"/>
      <c r="M373" s="793">
        <f t="shared" si="27"/>
        <v>0</v>
      </c>
      <c r="N373" s="813"/>
      <c r="O373" s="793">
        <f t="shared" si="28"/>
        <v>0</v>
      </c>
      <c r="P373" s="793">
        <f t="shared" si="29"/>
        <v>0</v>
      </c>
    </row>
    <row r="374" spans="3:16">
      <c r="C374" s="789">
        <f>IF(D354="","-",+C373+1)</f>
        <v>2029</v>
      </c>
      <c r="D374" s="737">
        <f t="shared" si="30"/>
        <v>38025100.19939027</v>
      </c>
      <c r="E374" s="790">
        <f t="shared" si="32"/>
        <v>1382730.9163414633</v>
      </c>
      <c r="F374" s="790">
        <f t="shared" si="26"/>
        <v>36642369.283048809</v>
      </c>
      <c r="G374" s="737">
        <f t="shared" si="31"/>
        <v>37333734.741219535</v>
      </c>
      <c r="H374" s="795">
        <f>+J355*G374+E374</f>
        <v>5537737.7076388048</v>
      </c>
      <c r="I374" s="796">
        <f>+J356*G374+E374</f>
        <v>5537737.7076388048</v>
      </c>
      <c r="J374" s="793">
        <f t="shared" si="33"/>
        <v>0</v>
      </c>
      <c r="K374" s="793"/>
      <c r="L374" s="813"/>
      <c r="M374" s="793">
        <f t="shared" si="27"/>
        <v>0</v>
      </c>
      <c r="N374" s="813"/>
      <c r="O374" s="793">
        <f t="shared" si="28"/>
        <v>0</v>
      </c>
      <c r="P374" s="793">
        <f t="shared" si="29"/>
        <v>0</v>
      </c>
    </row>
    <row r="375" spans="3:16">
      <c r="C375" s="789">
        <f>IF(D354="","-",+C374+1)</f>
        <v>2030</v>
      </c>
      <c r="D375" s="737">
        <f t="shared" si="30"/>
        <v>36642369.283048809</v>
      </c>
      <c r="E375" s="790">
        <f t="shared" si="32"/>
        <v>1382730.9163414633</v>
      </c>
      <c r="F375" s="790">
        <f t="shared" si="26"/>
        <v>35259638.366707347</v>
      </c>
      <c r="G375" s="737">
        <f t="shared" si="31"/>
        <v>35951003.824878082</v>
      </c>
      <c r="H375" s="795">
        <f>+J355*G375+E375</f>
        <v>5383848.5672203861</v>
      </c>
      <c r="I375" s="796">
        <f>+J356*G375+E375</f>
        <v>5383848.5672203861</v>
      </c>
      <c r="J375" s="793">
        <f t="shared" si="33"/>
        <v>0</v>
      </c>
      <c r="K375" s="793"/>
      <c r="L375" s="813"/>
      <c r="M375" s="793">
        <f t="shared" si="27"/>
        <v>0</v>
      </c>
      <c r="N375" s="813"/>
      <c r="O375" s="793">
        <f t="shared" si="28"/>
        <v>0</v>
      </c>
      <c r="P375" s="793">
        <f t="shared" si="29"/>
        <v>0</v>
      </c>
    </row>
    <row r="376" spans="3:16">
      <c r="C376" s="789">
        <f>IF(D354="","-",+C375+1)</f>
        <v>2031</v>
      </c>
      <c r="D376" s="737">
        <f t="shared" si="30"/>
        <v>35259638.366707347</v>
      </c>
      <c r="E376" s="790">
        <f t="shared" si="32"/>
        <v>1382730.9163414633</v>
      </c>
      <c r="F376" s="790">
        <f t="shared" si="26"/>
        <v>33876907.450365886</v>
      </c>
      <c r="G376" s="737">
        <f t="shared" si="31"/>
        <v>34568272.908536613</v>
      </c>
      <c r="H376" s="795">
        <f>+J355*G376+E376</f>
        <v>5229959.4268019656</v>
      </c>
      <c r="I376" s="796">
        <f>+J356*G376+E376</f>
        <v>5229959.4268019656</v>
      </c>
      <c r="J376" s="793">
        <f t="shared" si="33"/>
        <v>0</v>
      </c>
      <c r="K376" s="793"/>
      <c r="L376" s="813"/>
      <c r="M376" s="793">
        <f t="shared" si="27"/>
        <v>0</v>
      </c>
      <c r="N376" s="813"/>
      <c r="O376" s="793">
        <f t="shared" si="28"/>
        <v>0</v>
      </c>
      <c r="P376" s="793">
        <f t="shared" si="29"/>
        <v>0</v>
      </c>
    </row>
    <row r="377" spans="3:16">
      <c r="C377" s="789">
        <f>IF(D354="","-",+C376+1)</f>
        <v>2032</v>
      </c>
      <c r="D377" s="737">
        <f t="shared" si="30"/>
        <v>33876907.450365886</v>
      </c>
      <c r="E377" s="790">
        <f t="shared" si="32"/>
        <v>1382730.9163414633</v>
      </c>
      <c r="F377" s="790">
        <f t="shared" si="26"/>
        <v>32494176.534024421</v>
      </c>
      <c r="G377" s="737">
        <f t="shared" si="31"/>
        <v>33185541.992195152</v>
      </c>
      <c r="H377" s="795">
        <f>+J355*G377+E377</f>
        <v>5076070.286383546</v>
      </c>
      <c r="I377" s="796">
        <f>+J356*G377+E377</f>
        <v>5076070.286383546</v>
      </c>
      <c r="J377" s="793">
        <f t="shared" si="33"/>
        <v>0</v>
      </c>
      <c r="K377" s="793"/>
      <c r="L377" s="813"/>
      <c r="M377" s="793">
        <f t="shared" si="27"/>
        <v>0</v>
      </c>
      <c r="N377" s="813"/>
      <c r="O377" s="793">
        <f t="shared" si="28"/>
        <v>0</v>
      </c>
      <c r="P377" s="793">
        <f t="shared" si="29"/>
        <v>0</v>
      </c>
    </row>
    <row r="378" spans="3:16">
      <c r="C378" s="789">
        <f>IF(D354="","-",+C377+1)</f>
        <v>2033</v>
      </c>
      <c r="D378" s="737">
        <f t="shared" si="30"/>
        <v>32494176.534024421</v>
      </c>
      <c r="E378" s="790">
        <f t="shared" si="32"/>
        <v>1382730.9163414633</v>
      </c>
      <c r="F378" s="790">
        <f t="shared" si="26"/>
        <v>31111445.617682956</v>
      </c>
      <c r="G378" s="737">
        <f t="shared" si="31"/>
        <v>31802811.075853691</v>
      </c>
      <c r="H378" s="795">
        <f>+J355*G378+E378</f>
        <v>4922181.1459651263</v>
      </c>
      <c r="I378" s="796">
        <f>+J356*G378+E378</f>
        <v>4922181.1459651263</v>
      </c>
      <c r="J378" s="793">
        <f t="shared" si="33"/>
        <v>0</v>
      </c>
      <c r="K378" s="793"/>
      <c r="L378" s="813"/>
      <c r="M378" s="793">
        <f t="shared" si="27"/>
        <v>0</v>
      </c>
      <c r="N378" s="813"/>
      <c r="O378" s="793">
        <f t="shared" si="28"/>
        <v>0</v>
      </c>
      <c r="P378" s="793">
        <f t="shared" si="29"/>
        <v>0</v>
      </c>
    </row>
    <row r="379" spans="3:16">
      <c r="C379" s="789">
        <f>IF(D354="","-",+C378+1)</f>
        <v>2034</v>
      </c>
      <c r="D379" s="737">
        <f t="shared" si="30"/>
        <v>31111445.617682956</v>
      </c>
      <c r="E379" s="790">
        <f t="shared" si="32"/>
        <v>1382730.9163414633</v>
      </c>
      <c r="F379" s="790">
        <f t="shared" si="26"/>
        <v>29728714.701341491</v>
      </c>
      <c r="G379" s="737">
        <f t="shared" si="31"/>
        <v>30420080.159512222</v>
      </c>
      <c r="H379" s="795">
        <f>+J355*G379+E379</f>
        <v>4768292.0055467058</v>
      </c>
      <c r="I379" s="796">
        <f>+J356*G379+E379</f>
        <v>4768292.0055467058</v>
      </c>
      <c r="J379" s="793">
        <f t="shared" si="33"/>
        <v>0</v>
      </c>
      <c r="K379" s="793"/>
      <c r="L379" s="813"/>
      <c r="M379" s="793">
        <f t="shared" si="27"/>
        <v>0</v>
      </c>
      <c r="N379" s="813"/>
      <c r="O379" s="793">
        <f t="shared" si="28"/>
        <v>0</v>
      </c>
      <c r="P379" s="793">
        <f t="shared" si="29"/>
        <v>0</v>
      </c>
    </row>
    <row r="380" spans="3:16">
      <c r="C380" s="789">
        <f>IF(D354="","-",+C379+1)</f>
        <v>2035</v>
      </c>
      <c r="D380" s="737">
        <f t="shared" si="30"/>
        <v>29728714.701341491</v>
      </c>
      <c r="E380" s="790">
        <f t="shared" si="32"/>
        <v>1382730.9163414633</v>
      </c>
      <c r="F380" s="790">
        <f t="shared" si="26"/>
        <v>28345983.785000026</v>
      </c>
      <c r="G380" s="737">
        <f t="shared" si="31"/>
        <v>29037349.243170761</v>
      </c>
      <c r="H380" s="795">
        <f>+J355*G380+E380</f>
        <v>4614402.8651282862</v>
      </c>
      <c r="I380" s="796">
        <f>+J356*G380+E380</f>
        <v>4614402.8651282862</v>
      </c>
      <c r="J380" s="793">
        <f t="shared" si="33"/>
        <v>0</v>
      </c>
      <c r="K380" s="793"/>
      <c r="L380" s="813"/>
      <c r="M380" s="793">
        <f t="shared" si="27"/>
        <v>0</v>
      </c>
      <c r="N380" s="813"/>
      <c r="O380" s="793">
        <f t="shared" si="28"/>
        <v>0</v>
      </c>
      <c r="P380" s="793">
        <f t="shared" si="29"/>
        <v>0</v>
      </c>
    </row>
    <row r="381" spans="3:16">
      <c r="C381" s="789">
        <f>IF(D354="","-",+C380+1)</f>
        <v>2036</v>
      </c>
      <c r="D381" s="737">
        <f t="shared" si="30"/>
        <v>28345983.785000026</v>
      </c>
      <c r="E381" s="790">
        <f t="shared" si="32"/>
        <v>1382730.9163414633</v>
      </c>
      <c r="F381" s="790">
        <f t="shared" si="26"/>
        <v>26963252.868658561</v>
      </c>
      <c r="G381" s="737">
        <f t="shared" si="31"/>
        <v>27654618.326829292</v>
      </c>
      <c r="H381" s="795">
        <f>+J355*G381+E381</f>
        <v>4460513.7247098656</v>
      </c>
      <c r="I381" s="796">
        <f>+J356*G381+E381</f>
        <v>4460513.7247098656</v>
      </c>
      <c r="J381" s="793">
        <f t="shared" si="33"/>
        <v>0</v>
      </c>
      <c r="K381" s="793"/>
      <c r="L381" s="813"/>
      <c r="M381" s="793">
        <f t="shared" si="27"/>
        <v>0</v>
      </c>
      <c r="N381" s="813"/>
      <c r="O381" s="793">
        <f t="shared" si="28"/>
        <v>0</v>
      </c>
      <c r="P381" s="793">
        <f t="shared" si="29"/>
        <v>0</v>
      </c>
    </row>
    <row r="382" spans="3:16">
      <c r="C382" s="789">
        <f>IF(D354="","-",+C381+1)</f>
        <v>2037</v>
      </c>
      <c r="D382" s="737">
        <f t="shared" si="30"/>
        <v>26963252.868658561</v>
      </c>
      <c r="E382" s="790">
        <f t="shared" si="32"/>
        <v>1382730.9163414633</v>
      </c>
      <c r="F382" s="790">
        <f t="shared" si="26"/>
        <v>25580521.952317096</v>
      </c>
      <c r="G382" s="737">
        <f t="shared" si="31"/>
        <v>26271887.410487831</v>
      </c>
      <c r="H382" s="795">
        <f>+J355*G382+E382</f>
        <v>4306624.584291446</v>
      </c>
      <c r="I382" s="796">
        <f>+J356*G382+E382</f>
        <v>4306624.584291446</v>
      </c>
      <c r="J382" s="793">
        <f t="shared" si="33"/>
        <v>0</v>
      </c>
      <c r="K382" s="793"/>
      <c r="L382" s="813"/>
      <c r="M382" s="793">
        <f t="shared" si="27"/>
        <v>0</v>
      </c>
      <c r="N382" s="813"/>
      <c r="O382" s="793">
        <f t="shared" si="28"/>
        <v>0</v>
      </c>
      <c r="P382" s="793">
        <f t="shared" si="29"/>
        <v>0</v>
      </c>
    </row>
    <row r="383" spans="3:16">
      <c r="C383" s="789">
        <f>IF(D354="","-",+C382+1)</f>
        <v>2038</v>
      </c>
      <c r="D383" s="737">
        <f t="shared" si="30"/>
        <v>25580521.952317096</v>
      </c>
      <c r="E383" s="790">
        <f t="shared" si="32"/>
        <v>1382730.9163414633</v>
      </c>
      <c r="F383" s="790">
        <f t="shared" si="26"/>
        <v>24197791.035975631</v>
      </c>
      <c r="G383" s="737">
        <f t="shared" si="31"/>
        <v>24889156.494146362</v>
      </c>
      <c r="H383" s="795">
        <f>+J355*G383+E383</f>
        <v>4152735.4438730255</v>
      </c>
      <c r="I383" s="796">
        <f>+J356*G383+E383</f>
        <v>4152735.4438730255</v>
      </c>
      <c r="J383" s="793">
        <f t="shared" si="33"/>
        <v>0</v>
      </c>
      <c r="K383" s="793"/>
      <c r="L383" s="813"/>
      <c r="M383" s="793">
        <f t="shared" si="27"/>
        <v>0</v>
      </c>
      <c r="N383" s="813"/>
      <c r="O383" s="793">
        <f t="shared" si="28"/>
        <v>0</v>
      </c>
      <c r="P383" s="793">
        <f t="shared" si="29"/>
        <v>0</v>
      </c>
    </row>
    <row r="384" spans="3:16">
      <c r="C384" s="789">
        <f>IF(D354="","-",+C383+1)</f>
        <v>2039</v>
      </c>
      <c r="D384" s="737">
        <f t="shared" si="30"/>
        <v>24197791.035975631</v>
      </c>
      <c r="E384" s="790">
        <f t="shared" si="32"/>
        <v>1382730.9163414633</v>
      </c>
      <c r="F384" s="790">
        <f t="shared" si="26"/>
        <v>22815060.119634166</v>
      </c>
      <c r="G384" s="737">
        <f t="shared" si="31"/>
        <v>23506425.577804901</v>
      </c>
      <c r="H384" s="795">
        <f>+J355*G384+E384</f>
        <v>3998846.3034546059</v>
      </c>
      <c r="I384" s="796">
        <f>+J356*G384+E384</f>
        <v>3998846.3034546059</v>
      </c>
      <c r="J384" s="793">
        <f t="shared" si="33"/>
        <v>0</v>
      </c>
      <c r="K384" s="793"/>
      <c r="L384" s="813"/>
      <c r="M384" s="793">
        <f t="shared" si="27"/>
        <v>0</v>
      </c>
      <c r="N384" s="813"/>
      <c r="O384" s="793">
        <f t="shared" si="28"/>
        <v>0</v>
      </c>
      <c r="P384" s="793">
        <f t="shared" si="29"/>
        <v>0</v>
      </c>
    </row>
    <row r="385" spans="3:16">
      <c r="C385" s="789">
        <f>IF(D354="","-",+C384+1)</f>
        <v>2040</v>
      </c>
      <c r="D385" s="737">
        <f t="shared" si="30"/>
        <v>22815060.119634166</v>
      </c>
      <c r="E385" s="790">
        <f t="shared" si="32"/>
        <v>1382730.9163414633</v>
      </c>
      <c r="F385" s="790">
        <f t="shared" si="26"/>
        <v>21432329.203292701</v>
      </c>
      <c r="G385" s="737">
        <f t="shared" si="31"/>
        <v>22123694.661463432</v>
      </c>
      <c r="H385" s="795">
        <f>+J355*G385+E385</f>
        <v>3844957.1630361853</v>
      </c>
      <c r="I385" s="796">
        <f>+J356*G385+E385</f>
        <v>3844957.1630361853</v>
      </c>
      <c r="J385" s="793">
        <f t="shared" si="33"/>
        <v>0</v>
      </c>
      <c r="K385" s="793"/>
      <c r="L385" s="813"/>
      <c r="M385" s="793">
        <f t="shared" si="27"/>
        <v>0</v>
      </c>
      <c r="N385" s="813"/>
      <c r="O385" s="793">
        <f t="shared" si="28"/>
        <v>0</v>
      </c>
      <c r="P385" s="793">
        <f t="shared" si="29"/>
        <v>0</v>
      </c>
    </row>
    <row r="386" spans="3:16">
      <c r="C386" s="789">
        <f>IF(D354="","-",+C385+1)</f>
        <v>2041</v>
      </c>
      <c r="D386" s="737">
        <f t="shared" si="30"/>
        <v>21432329.203292701</v>
      </c>
      <c r="E386" s="790">
        <f t="shared" si="32"/>
        <v>1382730.9163414633</v>
      </c>
      <c r="F386" s="790">
        <f t="shared" si="26"/>
        <v>20049598.286951236</v>
      </c>
      <c r="G386" s="737">
        <f t="shared" si="31"/>
        <v>20740963.745121971</v>
      </c>
      <c r="H386" s="795">
        <f>+J355*G386+E386</f>
        <v>3691068.0226177648</v>
      </c>
      <c r="I386" s="796">
        <f>+J356*G386+E386</f>
        <v>3691068.0226177648</v>
      </c>
      <c r="J386" s="793">
        <f t="shared" si="33"/>
        <v>0</v>
      </c>
      <c r="K386" s="793"/>
      <c r="L386" s="813"/>
      <c r="M386" s="793">
        <f t="shared" si="27"/>
        <v>0</v>
      </c>
      <c r="N386" s="813"/>
      <c r="O386" s="793">
        <f t="shared" si="28"/>
        <v>0</v>
      </c>
      <c r="P386" s="793">
        <f t="shared" si="29"/>
        <v>0</v>
      </c>
    </row>
    <row r="387" spans="3:16">
      <c r="C387" s="789">
        <f>IF(D354="","-",+C386+1)</f>
        <v>2042</v>
      </c>
      <c r="D387" s="737">
        <f t="shared" si="30"/>
        <v>20049598.286951236</v>
      </c>
      <c r="E387" s="790">
        <f t="shared" si="32"/>
        <v>1382730.9163414633</v>
      </c>
      <c r="F387" s="790">
        <f t="shared" si="26"/>
        <v>18666867.370609771</v>
      </c>
      <c r="G387" s="737">
        <f t="shared" si="31"/>
        <v>19358232.828780502</v>
      </c>
      <c r="H387" s="795">
        <f>+J355*G387+E387</f>
        <v>3537178.8821993442</v>
      </c>
      <c r="I387" s="796">
        <f>+J356*G387+E387</f>
        <v>3537178.8821993442</v>
      </c>
      <c r="J387" s="793">
        <f t="shared" si="33"/>
        <v>0</v>
      </c>
      <c r="K387" s="793"/>
      <c r="L387" s="813"/>
      <c r="M387" s="793">
        <f t="shared" si="27"/>
        <v>0</v>
      </c>
      <c r="N387" s="813"/>
      <c r="O387" s="793">
        <f t="shared" si="28"/>
        <v>0</v>
      </c>
      <c r="P387" s="793">
        <f t="shared" si="29"/>
        <v>0</v>
      </c>
    </row>
    <row r="388" spans="3:16">
      <c r="C388" s="789">
        <f>IF(D354="","-",+C387+1)</f>
        <v>2043</v>
      </c>
      <c r="D388" s="737">
        <f t="shared" si="30"/>
        <v>18666867.370609771</v>
      </c>
      <c r="E388" s="790">
        <f t="shared" si="32"/>
        <v>1382730.9163414633</v>
      </c>
      <c r="F388" s="790">
        <f t="shared" si="26"/>
        <v>17284136.454268306</v>
      </c>
      <c r="G388" s="737">
        <f t="shared" si="31"/>
        <v>17975501.912439041</v>
      </c>
      <c r="H388" s="795">
        <f>+J355*G388+E388</f>
        <v>3383289.7417809246</v>
      </c>
      <c r="I388" s="796">
        <f>+J356*G388+E388</f>
        <v>3383289.7417809246</v>
      </c>
      <c r="J388" s="793">
        <f t="shared" si="33"/>
        <v>0</v>
      </c>
      <c r="K388" s="793"/>
      <c r="L388" s="813"/>
      <c r="M388" s="793">
        <f t="shared" si="27"/>
        <v>0</v>
      </c>
      <c r="N388" s="813"/>
      <c r="O388" s="793">
        <f t="shared" si="28"/>
        <v>0</v>
      </c>
      <c r="P388" s="793">
        <f t="shared" si="29"/>
        <v>0</v>
      </c>
    </row>
    <row r="389" spans="3:16">
      <c r="C389" s="789">
        <f>IF(D354="","-",+C388+1)</f>
        <v>2044</v>
      </c>
      <c r="D389" s="737">
        <f t="shared" si="30"/>
        <v>17284136.454268306</v>
      </c>
      <c r="E389" s="790">
        <f t="shared" si="32"/>
        <v>1382730.9163414633</v>
      </c>
      <c r="F389" s="790">
        <f t="shared" si="26"/>
        <v>15901405.537926843</v>
      </c>
      <c r="G389" s="737">
        <f t="shared" si="31"/>
        <v>16592770.996097576</v>
      </c>
      <c r="H389" s="795">
        <f>+J355*G389+E389</f>
        <v>3229400.601362505</v>
      </c>
      <c r="I389" s="796">
        <f>+J356*G389+E389</f>
        <v>3229400.601362505</v>
      </c>
      <c r="J389" s="793">
        <f t="shared" si="33"/>
        <v>0</v>
      </c>
      <c r="K389" s="793"/>
      <c r="L389" s="813"/>
      <c r="M389" s="793">
        <f t="shared" si="27"/>
        <v>0</v>
      </c>
      <c r="N389" s="813"/>
      <c r="O389" s="793">
        <f t="shared" si="28"/>
        <v>0</v>
      </c>
      <c r="P389" s="793">
        <f t="shared" si="29"/>
        <v>0</v>
      </c>
    </row>
    <row r="390" spans="3:16">
      <c r="C390" s="789">
        <f>IF(D354="","-",+C389+1)</f>
        <v>2045</v>
      </c>
      <c r="D390" s="737">
        <f t="shared" si="30"/>
        <v>15901405.537926843</v>
      </c>
      <c r="E390" s="790">
        <f t="shared" si="32"/>
        <v>1382730.9163414633</v>
      </c>
      <c r="F390" s="790">
        <f t="shared" si="26"/>
        <v>14518674.62158538</v>
      </c>
      <c r="G390" s="737">
        <f t="shared" si="31"/>
        <v>15210040.079756111</v>
      </c>
      <c r="H390" s="795">
        <f>+J355*G390+E390</f>
        <v>3075511.4609440845</v>
      </c>
      <c r="I390" s="796">
        <f>+J356*G390+E390</f>
        <v>3075511.4609440845</v>
      </c>
      <c r="J390" s="793">
        <f t="shared" si="33"/>
        <v>0</v>
      </c>
      <c r="K390" s="793"/>
      <c r="L390" s="813"/>
      <c r="M390" s="793">
        <f t="shared" si="27"/>
        <v>0</v>
      </c>
      <c r="N390" s="813"/>
      <c r="O390" s="793">
        <f t="shared" si="28"/>
        <v>0</v>
      </c>
      <c r="P390" s="793">
        <f t="shared" si="29"/>
        <v>0</v>
      </c>
    </row>
    <row r="391" spans="3:16">
      <c r="C391" s="789">
        <f>IF(D354="","-",+C390+1)</f>
        <v>2046</v>
      </c>
      <c r="D391" s="737">
        <f t="shared" si="30"/>
        <v>14518674.62158538</v>
      </c>
      <c r="E391" s="790">
        <f t="shared" si="32"/>
        <v>1382730.9163414633</v>
      </c>
      <c r="F391" s="790">
        <f t="shared" si="26"/>
        <v>13135943.705243917</v>
      </c>
      <c r="G391" s="737">
        <f t="shared" si="31"/>
        <v>13827309.16341465</v>
      </c>
      <c r="H391" s="795">
        <f>+J355*G391+E391</f>
        <v>2921622.3205256648</v>
      </c>
      <c r="I391" s="796">
        <f>+J356*G391+E391</f>
        <v>2921622.3205256648</v>
      </c>
      <c r="J391" s="793">
        <f t="shared" si="33"/>
        <v>0</v>
      </c>
      <c r="K391" s="793"/>
      <c r="L391" s="813"/>
      <c r="M391" s="793">
        <f t="shared" si="27"/>
        <v>0</v>
      </c>
      <c r="N391" s="813"/>
      <c r="O391" s="793">
        <f t="shared" si="28"/>
        <v>0</v>
      </c>
      <c r="P391" s="793">
        <f t="shared" si="29"/>
        <v>0</v>
      </c>
    </row>
    <row r="392" spans="3:16">
      <c r="C392" s="789">
        <f>IF(D354="","-",+C391+1)</f>
        <v>2047</v>
      </c>
      <c r="D392" s="737">
        <f t="shared" si="30"/>
        <v>13135943.705243917</v>
      </c>
      <c r="E392" s="790">
        <f t="shared" si="32"/>
        <v>1382730.9163414633</v>
      </c>
      <c r="F392" s="790">
        <f t="shared" si="26"/>
        <v>11753212.788902454</v>
      </c>
      <c r="G392" s="737">
        <f t="shared" si="31"/>
        <v>12444578.247073185</v>
      </c>
      <c r="H392" s="795">
        <f>+J355*G392+E392</f>
        <v>2767733.1801072448</v>
      </c>
      <c r="I392" s="796">
        <f>+J356*G392+E392</f>
        <v>2767733.1801072448</v>
      </c>
      <c r="J392" s="793">
        <f t="shared" si="33"/>
        <v>0</v>
      </c>
      <c r="K392" s="793"/>
      <c r="L392" s="813"/>
      <c r="M392" s="793">
        <f t="shared" si="27"/>
        <v>0</v>
      </c>
      <c r="N392" s="813"/>
      <c r="O392" s="793">
        <f t="shared" si="28"/>
        <v>0</v>
      </c>
      <c r="P392" s="793">
        <f t="shared" si="29"/>
        <v>0</v>
      </c>
    </row>
    <row r="393" spans="3:16">
      <c r="C393" s="789">
        <f>IF(D354="","-",+C392+1)</f>
        <v>2048</v>
      </c>
      <c r="D393" s="737">
        <f t="shared" si="30"/>
        <v>11753212.788902454</v>
      </c>
      <c r="E393" s="790">
        <f t="shared" si="32"/>
        <v>1382730.9163414633</v>
      </c>
      <c r="F393" s="790">
        <f t="shared" si="26"/>
        <v>10370481.872560991</v>
      </c>
      <c r="G393" s="737">
        <f t="shared" si="31"/>
        <v>11061847.330731723</v>
      </c>
      <c r="H393" s="795">
        <f>+J355*G393+E393</f>
        <v>2613844.0396888247</v>
      </c>
      <c r="I393" s="796">
        <f>+J356*G393+E393</f>
        <v>2613844.0396888247</v>
      </c>
      <c r="J393" s="793">
        <f t="shared" si="33"/>
        <v>0</v>
      </c>
      <c r="K393" s="793"/>
      <c r="L393" s="813"/>
      <c r="M393" s="793">
        <f t="shared" si="27"/>
        <v>0</v>
      </c>
      <c r="N393" s="813"/>
      <c r="O393" s="793">
        <f t="shared" si="28"/>
        <v>0</v>
      </c>
      <c r="P393" s="793">
        <f t="shared" si="29"/>
        <v>0</v>
      </c>
    </row>
    <row r="394" spans="3:16">
      <c r="C394" s="789">
        <f>IF(D354="","-",+C393+1)</f>
        <v>2049</v>
      </c>
      <c r="D394" s="737">
        <f t="shared" si="30"/>
        <v>10370481.872560991</v>
      </c>
      <c r="E394" s="790">
        <f t="shared" si="32"/>
        <v>1382730.9163414633</v>
      </c>
      <c r="F394" s="790">
        <f t="shared" si="26"/>
        <v>8987750.9562195279</v>
      </c>
      <c r="G394" s="737">
        <f t="shared" si="31"/>
        <v>9679116.4143902585</v>
      </c>
      <c r="H394" s="795">
        <f>+J355*G394+E394</f>
        <v>2459954.8992704051</v>
      </c>
      <c r="I394" s="796">
        <f>+J356*G394+E394</f>
        <v>2459954.8992704051</v>
      </c>
      <c r="J394" s="793">
        <f t="shared" si="33"/>
        <v>0</v>
      </c>
      <c r="K394" s="793"/>
      <c r="L394" s="813"/>
      <c r="M394" s="793">
        <f t="shared" si="27"/>
        <v>0</v>
      </c>
      <c r="N394" s="813"/>
      <c r="O394" s="793">
        <f t="shared" si="28"/>
        <v>0</v>
      </c>
      <c r="P394" s="793">
        <f t="shared" si="29"/>
        <v>0</v>
      </c>
    </row>
    <row r="395" spans="3:16">
      <c r="C395" s="789">
        <f>IF(D354="","-",+C394+1)</f>
        <v>2050</v>
      </c>
      <c r="D395" s="737">
        <f t="shared" si="30"/>
        <v>8987750.9562195279</v>
      </c>
      <c r="E395" s="790">
        <f t="shared" si="32"/>
        <v>1382730.9163414633</v>
      </c>
      <c r="F395" s="790">
        <f t="shared" si="26"/>
        <v>7605020.0398780648</v>
      </c>
      <c r="G395" s="737">
        <f t="shared" si="31"/>
        <v>8296385.4980487963</v>
      </c>
      <c r="H395" s="795">
        <f>+J355*G395+E395</f>
        <v>2306065.758851985</v>
      </c>
      <c r="I395" s="796">
        <f>+J356*G395+E395</f>
        <v>2306065.758851985</v>
      </c>
      <c r="J395" s="793">
        <f t="shared" si="33"/>
        <v>0</v>
      </c>
      <c r="K395" s="793"/>
      <c r="L395" s="813"/>
      <c r="M395" s="793">
        <f t="shared" si="27"/>
        <v>0</v>
      </c>
      <c r="N395" s="813"/>
      <c r="O395" s="793">
        <f t="shared" si="28"/>
        <v>0</v>
      </c>
      <c r="P395" s="793">
        <f t="shared" si="29"/>
        <v>0</v>
      </c>
    </row>
    <row r="396" spans="3:16">
      <c r="C396" s="789">
        <f>IF(D354="","-",+C395+1)</f>
        <v>2051</v>
      </c>
      <c r="D396" s="737">
        <f t="shared" si="30"/>
        <v>7605020.0398780648</v>
      </c>
      <c r="E396" s="790">
        <f t="shared" si="32"/>
        <v>1382730.9163414633</v>
      </c>
      <c r="F396" s="790">
        <f t="shared" si="26"/>
        <v>6222289.1235366017</v>
      </c>
      <c r="G396" s="737">
        <f t="shared" si="31"/>
        <v>6913654.5817073332</v>
      </c>
      <c r="H396" s="795">
        <f>+J355*G396+E396</f>
        <v>2152176.6184335649</v>
      </c>
      <c r="I396" s="796">
        <f>+J356*G396+E396</f>
        <v>2152176.6184335649</v>
      </c>
      <c r="J396" s="793">
        <f t="shared" si="33"/>
        <v>0</v>
      </c>
      <c r="K396" s="793"/>
      <c r="L396" s="813"/>
      <c r="M396" s="793">
        <f t="shared" si="27"/>
        <v>0</v>
      </c>
      <c r="N396" s="813"/>
      <c r="O396" s="793">
        <f t="shared" si="28"/>
        <v>0</v>
      </c>
      <c r="P396" s="793">
        <f t="shared" si="29"/>
        <v>0</v>
      </c>
    </row>
    <row r="397" spans="3:16">
      <c r="C397" s="789">
        <f>IF(D354="","-",+C396+1)</f>
        <v>2052</v>
      </c>
      <c r="D397" s="737">
        <f t="shared" si="30"/>
        <v>6222289.1235366017</v>
      </c>
      <c r="E397" s="790">
        <f t="shared" si="32"/>
        <v>1382730.9163414633</v>
      </c>
      <c r="F397" s="790">
        <f t="shared" si="26"/>
        <v>4839558.2071951386</v>
      </c>
      <c r="G397" s="737">
        <f t="shared" si="31"/>
        <v>5530923.6653658701</v>
      </c>
      <c r="H397" s="795">
        <f>+J355*G397+E397</f>
        <v>1998287.4780151451</v>
      </c>
      <c r="I397" s="796">
        <f>+J356*G397+E397</f>
        <v>1998287.4780151451</v>
      </c>
      <c r="J397" s="793">
        <f t="shared" si="33"/>
        <v>0</v>
      </c>
      <c r="K397" s="793"/>
      <c r="L397" s="813"/>
      <c r="M397" s="793">
        <f t="shared" si="27"/>
        <v>0</v>
      </c>
      <c r="N397" s="813"/>
      <c r="O397" s="793">
        <f t="shared" si="28"/>
        <v>0</v>
      </c>
      <c r="P397" s="793">
        <f t="shared" si="29"/>
        <v>0</v>
      </c>
    </row>
    <row r="398" spans="3:16">
      <c r="C398" s="789">
        <f>IF(D354="","-",+C397+1)</f>
        <v>2053</v>
      </c>
      <c r="D398" s="737">
        <f t="shared" si="30"/>
        <v>4839558.2071951386</v>
      </c>
      <c r="E398" s="790">
        <f t="shared" si="32"/>
        <v>1382730.9163414633</v>
      </c>
      <c r="F398" s="790">
        <f t="shared" si="26"/>
        <v>3456827.2908536755</v>
      </c>
      <c r="G398" s="737">
        <f t="shared" si="31"/>
        <v>4148192.749024407</v>
      </c>
      <c r="H398" s="795">
        <f>+J355*G398+E398</f>
        <v>1844398.3375967252</v>
      </c>
      <c r="I398" s="796">
        <f>+J356*G398+E398</f>
        <v>1844398.3375967252</v>
      </c>
      <c r="J398" s="793">
        <f t="shared" si="33"/>
        <v>0</v>
      </c>
      <c r="K398" s="793"/>
      <c r="L398" s="813"/>
      <c r="M398" s="793">
        <f t="shared" si="27"/>
        <v>0</v>
      </c>
      <c r="N398" s="813"/>
      <c r="O398" s="793">
        <f t="shared" si="28"/>
        <v>0</v>
      </c>
      <c r="P398" s="793">
        <f t="shared" si="29"/>
        <v>0</v>
      </c>
    </row>
    <row r="399" spans="3:16">
      <c r="C399" s="789">
        <f>IF(D354="","-",+C398+1)</f>
        <v>2054</v>
      </c>
      <c r="D399" s="737">
        <f t="shared" si="30"/>
        <v>3456827.2908536755</v>
      </c>
      <c r="E399" s="790">
        <f t="shared" si="32"/>
        <v>1382730.9163414633</v>
      </c>
      <c r="F399" s="790">
        <f t="shared" si="26"/>
        <v>2074096.3745122121</v>
      </c>
      <c r="G399" s="737">
        <f t="shared" si="31"/>
        <v>2765461.8326829439</v>
      </c>
      <c r="H399" s="795">
        <f>+J355*G399+E399</f>
        <v>1690509.1971783051</v>
      </c>
      <c r="I399" s="796">
        <f>+J356*G399+E399</f>
        <v>1690509.1971783051</v>
      </c>
      <c r="J399" s="793">
        <f t="shared" si="33"/>
        <v>0</v>
      </c>
      <c r="K399" s="793"/>
      <c r="L399" s="813"/>
      <c r="M399" s="793">
        <f t="shared" si="27"/>
        <v>0</v>
      </c>
      <c r="N399" s="813"/>
      <c r="O399" s="793">
        <f t="shared" si="28"/>
        <v>0</v>
      </c>
      <c r="P399" s="793">
        <f t="shared" si="29"/>
        <v>0</v>
      </c>
    </row>
    <row r="400" spans="3:16">
      <c r="C400" s="789">
        <f>IF(D354="","-",+C399+1)</f>
        <v>2055</v>
      </c>
      <c r="D400" s="737">
        <f t="shared" si="30"/>
        <v>2074096.3745122121</v>
      </c>
      <c r="E400" s="790">
        <f t="shared" si="32"/>
        <v>1382730.9163414633</v>
      </c>
      <c r="F400" s="790">
        <f t="shared" si="26"/>
        <v>691365.45817074878</v>
      </c>
      <c r="G400" s="737">
        <f t="shared" si="31"/>
        <v>1382730.9163414803</v>
      </c>
      <c r="H400" s="795">
        <f>+J355*G400+E400</f>
        <v>1536620.0567598853</v>
      </c>
      <c r="I400" s="796">
        <f>+J356*G400+E400</f>
        <v>1536620.0567598853</v>
      </c>
      <c r="J400" s="793">
        <f t="shared" si="33"/>
        <v>0</v>
      </c>
      <c r="K400" s="793"/>
      <c r="L400" s="813"/>
      <c r="M400" s="793">
        <f t="shared" si="27"/>
        <v>0</v>
      </c>
      <c r="N400" s="813"/>
      <c r="O400" s="793">
        <f t="shared" si="28"/>
        <v>0</v>
      </c>
      <c r="P400" s="793">
        <f t="shared" si="29"/>
        <v>0</v>
      </c>
    </row>
    <row r="401" spans="3:16">
      <c r="C401" s="789">
        <f>IF(D354="","-",+C400+1)</f>
        <v>2056</v>
      </c>
      <c r="D401" s="737">
        <f t="shared" si="30"/>
        <v>691365.45817074878</v>
      </c>
      <c r="E401" s="790">
        <f t="shared" si="32"/>
        <v>691365.45817074878</v>
      </c>
      <c r="F401" s="790">
        <f t="shared" si="26"/>
        <v>0</v>
      </c>
      <c r="G401" s="737">
        <f t="shared" si="31"/>
        <v>345682.72908537439</v>
      </c>
      <c r="H401" s="795">
        <f>+J355*G401+E401</f>
        <v>729837.74327535473</v>
      </c>
      <c r="I401" s="796">
        <f>+J356*G401+E401</f>
        <v>729837.74327535473</v>
      </c>
      <c r="J401" s="793">
        <f t="shared" si="33"/>
        <v>0</v>
      </c>
      <c r="K401" s="793"/>
      <c r="L401" s="813"/>
      <c r="M401" s="793">
        <f t="shared" si="27"/>
        <v>0</v>
      </c>
      <c r="N401" s="813"/>
      <c r="O401" s="793">
        <f t="shared" si="28"/>
        <v>0</v>
      </c>
      <c r="P401" s="793">
        <f t="shared" si="29"/>
        <v>0</v>
      </c>
    </row>
    <row r="402" spans="3:16">
      <c r="C402" s="789">
        <f>IF(D354="","-",+C401+1)</f>
        <v>2057</v>
      </c>
      <c r="D402" s="737">
        <f t="shared" si="30"/>
        <v>0</v>
      </c>
      <c r="E402" s="790">
        <f t="shared" si="32"/>
        <v>0</v>
      </c>
      <c r="F402" s="790">
        <f t="shared" si="26"/>
        <v>0</v>
      </c>
      <c r="G402" s="737">
        <f t="shared" si="31"/>
        <v>0</v>
      </c>
      <c r="H402" s="795">
        <f>+J355*G402+E402</f>
        <v>0</v>
      </c>
      <c r="I402" s="796">
        <f>+J356*G402+E402</f>
        <v>0</v>
      </c>
      <c r="J402" s="793">
        <f t="shared" si="33"/>
        <v>0</v>
      </c>
      <c r="K402" s="793"/>
      <c r="L402" s="813"/>
      <c r="M402" s="793">
        <f t="shared" si="27"/>
        <v>0</v>
      </c>
      <c r="N402" s="813"/>
      <c r="O402" s="793">
        <f t="shared" si="28"/>
        <v>0</v>
      </c>
      <c r="P402" s="793">
        <f t="shared" si="29"/>
        <v>0</v>
      </c>
    </row>
    <row r="403" spans="3:16">
      <c r="C403" s="789">
        <f>IF(D354="","-",+C402+1)</f>
        <v>2058</v>
      </c>
      <c r="D403" s="737">
        <f t="shared" si="30"/>
        <v>0</v>
      </c>
      <c r="E403" s="790">
        <f t="shared" si="32"/>
        <v>0</v>
      </c>
      <c r="F403" s="790">
        <f t="shared" si="26"/>
        <v>0</v>
      </c>
      <c r="G403" s="737">
        <f t="shared" si="31"/>
        <v>0</v>
      </c>
      <c r="H403" s="795">
        <f>+J355*G403+E403</f>
        <v>0</v>
      </c>
      <c r="I403" s="796">
        <f>+J356*G403+E403</f>
        <v>0</v>
      </c>
      <c r="J403" s="793">
        <f t="shared" si="33"/>
        <v>0</v>
      </c>
      <c r="K403" s="793"/>
      <c r="L403" s="813"/>
      <c r="M403" s="793">
        <f t="shared" si="27"/>
        <v>0</v>
      </c>
      <c r="N403" s="813"/>
      <c r="O403" s="793">
        <f t="shared" si="28"/>
        <v>0</v>
      </c>
      <c r="P403" s="793">
        <f t="shared" si="29"/>
        <v>0</v>
      </c>
    </row>
    <row r="404" spans="3:16">
      <c r="C404" s="789">
        <f>IF(D354="","-",+C403+1)</f>
        <v>2059</v>
      </c>
      <c r="D404" s="737">
        <f t="shared" si="30"/>
        <v>0</v>
      </c>
      <c r="E404" s="790">
        <f t="shared" si="32"/>
        <v>0</v>
      </c>
      <c r="F404" s="790">
        <f t="shared" si="26"/>
        <v>0</v>
      </c>
      <c r="G404" s="737">
        <f t="shared" si="31"/>
        <v>0</v>
      </c>
      <c r="H404" s="795">
        <f>+J355*G404+E404</f>
        <v>0</v>
      </c>
      <c r="I404" s="796">
        <f>+J356*G404+E404</f>
        <v>0</v>
      </c>
      <c r="J404" s="793">
        <f t="shared" si="33"/>
        <v>0</v>
      </c>
      <c r="K404" s="793"/>
      <c r="L404" s="813"/>
      <c r="M404" s="793">
        <f t="shared" si="27"/>
        <v>0</v>
      </c>
      <c r="N404" s="813"/>
      <c r="O404" s="793">
        <f t="shared" si="28"/>
        <v>0</v>
      </c>
      <c r="P404" s="793">
        <f t="shared" si="29"/>
        <v>0</v>
      </c>
    </row>
    <row r="405" spans="3:16">
      <c r="C405" s="789">
        <f>IF(D354="","-",+C404+1)</f>
        <v>2060</v>
      </c>
      <c r="D405" s="737">
        <f t="shared" si="30"/>
        <v>0</v>
      </c>
      <c r="E405" s="790">
        <f t="shared" si="32"/>
        <v>0</v>
      </c>
      <c r="F405" s="790">
        <f t="shared" si="26"/>
        <v>0</v>
      </c>
      <c r="G405" s="737">
        <f t="shared" si="31"/>
        <v>0</v>
      </c>
      <c r="H405" s="795">
        <f>+J355*G405+E405</f>
        <v>0</v>
      </c>
      <c r="I405" s="796">
        <f>+J356*G405+E405</f>
        <v>0</v>
      </c>
      <c r="J405" s="793">
        <f t="shared" si="33"/>
        <v>0</v>
      </c>
      <c r="K405" s="793"/>
      <c r="L405" s="813"/>
      <c r="M405" s="793">
        <f t="shared" si="27"/>
        <v>0</v>
      </c>
      <c r="N405" s="813"/>
      <c r="O405" s="793">
        <f t="shared" si="28"/>
        <v>0</v>
      </c>
      <c r="P405" s="793">
        <f t="shared" si="29"/>
        <v>0</v>
      </c>
    </row>
    <row r="406" spans="3:16">
      <c r="C406" s="789">
        <f>IF(D354="","-",+C405+1)</f>
        <v>2061</v>
      </c>
      <c r="D406" s="737">
        <f t="shared" si="30"/>
        <v>0</v>
      </c>
      <c r="E406" s="790">
        <f t="shared" si="32"/>
        <v>0</v>
      </c>
      <c r="F406" s="790">
        <f t="shared" si="26"/>
        <v>0</v>
      </c>
      <c r="G406" s="737">
        <f t="shared" si="31"/>
        <v>0</v>
      </c>
      <c r="H406" s="795">
        <f>+J355*G406+E406</f>
        <v>0</v>
      </c>
      <c r="I406" s="796">
        <f>+J356*G406+E406</f>
        <v>0</v>
      </c>
      <c r="J406" s="793">
        <f t="shared" si="33"/>
        <v>0</v>
      </c>
      <c r="K406" s="793"/>
      <c r="L406" s="813"/>
      <c r="M406" s="793">
        <f t="shared" si="27"/>
        <v>0</v>
      </c>
      <c r="N406" s="813"/>
      <c r="O406" s="793">
        <f t="shared" si="28"/>
        <v>0</v>
      </c>
      <c r="P406" s="793">
        <f t="shared" si="29"/>
        <v>0</v>
      </c>
    </row>
    <row r="407" spans="3:16">
      <c r="C407" s="789">
        <f>IF(D354="","-",+C406+1)</f>
        <v>2062</v>
      </c>
      <c r="D407" s="737">
        <f t="shared" si="30"/>
        <v>0</v>
      </c>
      <c r="E407" s="790">
        <f t="shared" si="32"/>
        <v>0</v>
      </c>
      <c r="F407" s="790">
        <f t="shared" si="26"/>
        <v>0</v>
      </c>
      <c r="G407" s="737">
        <f t="shared" si="31"/>
        <v>0</v>
      </c>
      <c r="H407" s="795">
        <f>+J355*G407+E407</f>
        <v>0</v>
      </c>
      <c r="I407" s="796">
        <f>+J356*G407+E407</f>
        <v>0</v>
      </c>
      <c r="J407" s="793">
        <f t="shared" si="33"/>
        <v>0</v>
      </c>
      <c r="K407" s="793"/>
      <c r="L407" s="813"/>
      <c r="M407" s="793">
        <f t="shared" si="27"/>
        <v>0</v>
      </c>
      <c r="N407" s="813"/>
      <c r="O407" s="793">
        <f t="shared" si="28"/>
        <v>0</v>
      </c>
      <c r="P407" s="793">
        <f t="shared" si="29"/>
        <v>0</v>
      </c>
    </row>
    <row r="408" spans="3:16">
      <c r="C408" s="789">
        <f>IF(D354="","-",+C407+1)</f>
        <v>2063</v>
      </c>
      <c r="D408" s="737">
        <f t="shared" si="30"/>
        <v>0</v>
      </c>
      <c r="E408" s="790">
        <f t="shared" si="32"/>
        <v>0</v>
      </c>
      <c r="F408" s="790">
        <f t="shared" si="26"/>
        <v>0</v>
      </c>
      <c r="G408" s="737">
        <f t="shared" si="31"/>
        <v>0</v>
      </c>
      <c r="H408" s="795">
        <f>+J355*G408+E408</f>
        <v>0</v>
      </c>
      <c r="I408" s="796">
        <f>+J356*G408+E408</f>
        <v>0</v>
      </c>
      <c r="J408" s="793">
        <f t="shared" si="33"/>
        <v>0</v>
      </c>
      <c r="K408" s="793"/>
      <c r="L408" s="813"/>
      <c r="M408" s="793">
        <f t="shared" si="27"/>
        <v>0</v>
      </c>
      <c r="N408" s="813"/>
      <c r="O408" s="793">
        <f t="shared" si="28"/>
        <v>0</v>
      </c>
      <c r="P408" s="793">
        <f t="shared" si="29"/>
        <v>0</v>
      </c>
    </row>
    <row r="409" spans="3:16">
      <c r="C409" s="789">
        <f>IF(D354="","-",+C408+1)</f>
        <v>2064</v>
      </c>
      <c r="D409" s="737">
        <f t="shared" si="30"/>
        <v>0</v>
      </c>
      <c r="E409" s="790">
        <f t="shared" si="32"/>
        <v>0</v>
      </c>
      <c r="F409" s="790">
        <f t="shared" si="26"/>
        <v>0</v>
      </c>
      <c r="G409" s="737">
        <f t="shared" si="31"/>
        <v>0</v>
      </c>
      <c r="H409" s="795">
        <f>+J355*G409+E409</f>
        <v>0</v>
      </c>
      <c r="I409" s="796">
        <f>+J356*G409+E409</f>
        <v>0</v>
      </c>
      <c r="J409" s="793">
        <f t="shared" si="33"/>
        <v>0</v>
      </c>
      <c r="K409" s="793"/>
      <c r="L409" s="813"/>
      <c r="M409" s="793">
        <f t="shared" si="27"/>
        <v>0</v>
      </c>
      <c r="N409" s="813"/>
      <c r="O409" s="793">
        <f t="shared" si="28"/>
        <v>0</v>
      </c>
      <c r="P409" s="793">
        <f t="shared" si="29"/>
        <v>0</v>
      </c>
    </row>
    <row r="410" spans="3:16">
      <c r="C410" s="789">
        <f>IF(D354="","-",+C409+1)</f>
        <v>2065</v>
      </c>
      <c r="D410" s="737">
        <f t="shared" si="30"/>
        <v>0</v>
      </c>
      <c r="E410" s="790">
        <f t="shared" si="32"/>
        <v>0</v>
      </c>
      <c r="F410" s="790">
        <f t="shared" si="26"/>
        <v>0</v>
      </c>
      <c r="G410" s="737">
        <f t="shared" si="31"/>
        <v>0</v>
      </c>
      <c r="H410" s="795">
        <f>+J355*G410+E410</f>
        <v>0</v>
      </c>
      <c r="I410" s="796">
        <f>+J356*G410+E410</f>
        <v>0</v>
      </c>
      <c r="J410" s="793">
        <f t="shared" si="33"/>
        <v>0</v>
      </c>
      <c r="K410" s="793"/>
      <c r="L410" s="813"/>
      <c r="M410" s="793">
        <f t="shared" si="27"/>
        <v>0</v>
      </c>
      <c r="N410" s="813"/>
      <c r="O410" s="793">
        <f t="shared" si="28"/>
        <v>0</v>
      </c>
      <c r="P410" s="793">
        <f t="shared" si="29"/>
        <v>0</v>
      </c>
    </row>
    <row r="411" spans="3:16">
      <c r="C411" s="789">
        <f>IF(D354="","-",+C410+1)</f>
        <v>2066</v>
      </c>
      <c r="D411" s="737">
        <f t="shared" si="30"/>
        <v>0</v>
      </c>
      <c r="E411" s="790">
        <f t="shared" si="32"/>
        <v>0</v>
      </c>
      <c r="F411" s="790">
        <f t="shared" si="26"/>
        <v>0</v>
      </c>
      <c r="G411" s="737">
        <f t="shared" si="31"/>
        <v>0</v>
      </c>
      <c r="H411" s="795">
        <f>+J355*G411+E411</f>
        <v>0</v>
      </c>
      <c r="I411" s="796">
        <f>+J356*G411+E411</f>
        <v>0</v>
      </c>
      <c r="J411" s="793">
        <f t="shared" si="33"/>
        <v>0</v>
      </c>
      <c r="K411" s="793"/>
      <c r="L411" s="813"/>
      <c r="M411" s="793">
        <f t="shared" si="27"/>
        <v>0</v>
      </c>
      <c r="N411" s="813"/>
      <c r="O411" s="793">
        <f t="shared" si="28"/>
        <v>0</v>
      </c>
      <c r="P411" s="793">
        <f t="shared" si="29"/>
        <v>0</v>
      </c>
    </row>
    <row r="412" spans="3:16">
      <c r="C412" s="789">
        <f>IF(D354="","-",+C411+1)</f>
        <v>2067</v>
      </c>
      <c r="D412" s="737">
        <f t="shared" si="30"/>
        <v>0</v>
      </c>
      <c r="E412" s="790">
        <f t="shared" si="32"/>
        <v>0</v>
      </c>
      <c r="F412" s="790">
        <f t="shared" si="26"/>
        <v>0</v>
      </c>
      <c r="G412" s="737">
        <f t="shared" si="31"/>
        <v>0</v>
      </c>
      <c r="H412" s="795">
        <f>+J355*G412+E412</f>
        <v>0</v>
      </c>
      <c r="I412" s="796">
        <f>+J356*G412+E412</f>
        <v>0</v>
      </c>
      <c r="J412" s="793">
        <f t="shared" si="33"/>
        <v>0</v>
      </c>
      <c r="K412" s="793"/>
      <c r="L412" s="813"/>
      <c r="M412" s="793">
        <f t="shared" si="27"/>
        <v>0</v>
      </c>
      <c r="N412" s="813"/>
      <c r="O412" s="793">
        <f t="shared" si="28"/>
        <v>0</v>
      </c>
      <c r="P412" s="793">
        <f t="shared" si="29"/>
        <v>0</v>
      </c>
    </row>
    <row r="413" spans="3:16">
      <c r="C413" s="789">
        <f>IF(D354="","-",+C412+1)</f>
        <v>2068</v>
      </c>
      <c r="D413" s="737">
        <f t="shared" si="30"/>
        <v>0</v>
      </c>
      <c r="E413" s="790">
        <f t="shared" si="32"/>
        <v>0</v>
      </c>
      <c r="F413" s="790">
        <f t="shared" si="26"/>
        <v>0</v>
      </c>
      <c r="G413" s="737">
        <f t="shared" si="31"/>
        <v>0</v>
      </c>
      <c r="H413" s="795">
        <f>+J355*G413+E413</f>
        <v>0</v>
      </c>
      <c r="I413" s="796">
        <f>+J356*G413+E413</f>
        <v>0</v>
      </c>
      <c r="J413" s="793">
        <f t="shared" si="33"/>
        <v>0</v>
      </c>
      <c r="K413" s="793"/>
      <c r="L413" s="813"/>
      <c r="M413" s="793">
        <f t="shared" si="27"/>
        <v>0</v>
      </c>
      <c r="N413" s="813"/>
      <c r="O413" s="793">
        <f t="shared" si="28"/>
        <v>0</v>
      </c>
      <c r="P413" s="793">
        <f t="shared" si="29"/>
        <v>0</v>
      </c>
    </row>
    <row r="414" spans="3:16">
      <c r="C414" s="789">
        <f>IF(D354="","-",+C413+1)</f>
        <v>2069</v>
      </c>
      <c r="D414" s="737">
        <f t="shared" ref="D414:D419" si="34">F413</f>
        <v>0</v>
      </c>
      <c r="E414" s="790">
        <f t="shared" si="32"/>
        <v>0</v>
      </c>
      <c r="F414" s="790">
        <f t="shared" si="26"/>
        <v>0</v>
      </c>
      <c r="G414" s="737">
        <f t="shared" si="31"/>
        <v>0</v>
      </c>
      <c r="H414" s="795">
        <f>+J355*G414+E414</f>
        <v>0</v>
      </c>
      <c r="I414" s="796">
        <f>+J356*G414+E414</f>
        <v>0</v>
      </c>
      <c r="J414" s="793">
        <f t="shared" si="33"/>
        <v>0</v>
      </c>
      <c r="K414" s="793"/>
      <c r="L414" s="813"/>
      <c r="M414" s="793">
        <f t="shared" si="27"/>
        <v>0</v>
      </c>
      <c r="N414" s="813"/>
      <c r="O414" s="793">
        <f t="shared" si="28"/>
        <v>0</v>
      </c>
      <c r="P414" s="793">
        <f t="shared" si="29"/>
        <v>0</v>
      </c>
    </row>
    <row r="415" spans="3:16">
      <c r="C415" s="789">
        <f>IF(D354="","-",+C414+1)</f>
        <v>2070</v>
      </c>
      <c r="D415" s="737">
        <f t="shared" si="34"/>
        <v>0</v>
      </c>
      <c r="E415" s="790">
        <f t="shared" si="32"/>
        <v>0</v>
      </c>
      <c r="F415" s="790">
        <f t="shared" si="26"/>
        <v>0</v>
      </c>
      <c r="G415" s="737">
        <f t="shared" si="31"/>
        <v>0</v>
      </c>
      <c r="H415" s="795">
        <f>+J355*G415+E415</f>
        <v>0</v>
      </c>
      <c r="I415" s="796">
        <f>+J356*G415+E415</f>
        <v>0</v>
      </c>
      <c r="J415" s="793">
        <f t="shared" si="33"/>
        <v>0</v>
      </c>
      <c r="K415" s="793"/>
      <c r="L415" s="813"/>
      <c r="M415" s="793">
        <f t="shared" si="27"/>
        <v>0</v>
      </c>
      <c r="N415" s="813"/>
      <c r="O415" s="793">
        <f t="shared" si="28"/>
        <v>0</v>
      </c>
      <c r="P415" s="793">
        <f t="shared" si="29"/>
        <v>0</v>
      </c>
    </row>
    <row r="416" spans="3:16">
      <c r="C416" s="789">
        <f>IF(D354="","-",+C415+1)</f>
        <v>2071</v>
      </c>
      <c r="D416" s="737">
        <f t="shared" si="34"/>
        <v>0</v>
      </c>
      <c r="E416" s="790">
        <f t="shared" si="32"/>
        <v>0</v>
      </c>
      <c r="F416" s="790">
        <f t="shared" si="26"/>
        <v>0</v>
      </c>
      <c r="G416" s="737">
        <f t="shared" si="31"/>
        <v>0</v>
      </c>
      <c r="H416" s="795">
        <f>+J355*G416+E416</f>
        <v>0</v>
      </c>
      <c r="I416" s="796">
        <f>+J356*G416+E416</f>
        <v>0</v>
      </c>
      <c r="J416" s="793">
        <f t="shared" si="33"/>
        <v>0</v>
      </c>
      <c r="K416" s="793"/>
      <c r="L416" s="813"/>
      <c r="M416" s="793">
        <f t="shared" si="27"/>
        <v>0</v>
      </c>
      <c r="N416" s="813"/>
      <c r="O416" s="793">
        <f t="shared" si="28"/>
        <v>0</v>
      </c>
      <c r="P416" s="793">
        <f t="shared" si="29"/>
        <v>0</v>
      </c>
    </row>
    <row r="417" spans="1:17">
      <c r="C417" s="789">
        <f>IF(D354="","-",+C416+1)</f>
        <v>2072</v>
      </c>
      <c r="D417" s="737">
        <f t="shared" si="34"/>
        <v>0</v>
      </c>
      <c r="E417" s="790">
        <f t="shared" si="32"/>
        <v>0</v>
      </c>
      <c r="F417" s="790">
        <f t="shared" si="26"/>
        <v>0</v>
      </c>
      <c r="G417" s="737">
        <f t="shared" si="31"/>
        <v>0</v>
      </c>
      <c r="H417" s="795">
        <f>+J355*G417+E417</f>
        <v>0</v>
      </c>
      <c r="I417" s="796">
        <f>+J356*G417+E417</f>
        <v>0</v>
      </c>
      <c r="J417" s="793">
        <f t="shared" si="33"/>
        <v>0</v>
      </c>
      <c r="K417" s="793"/>
      <c r="L417" s="813"/>
      <c r="M417" s="793">
        <f t="shared" si="27"/>
        <v>0</v>
      </c>
      <c r="N417" s="813"/>
      <c r="O417" s="793">
        <f t="shared" si="28"/>
        <v>0</v>
      </c>
      <c r="P417" s="793">
        <f t="shared" si="29"/>
        <v>0</v>
      </c>
    </row>
    <row r="418" spans="1:17">
      <c r="C418" s="789">
        <f>IF(D354="","-",+C417+1)</f>
        <v>2073</v>
      </c>
      <c r="D418" s="737">
        <f t="shared" si="34"/>
        <v>0</v>
      </c>
      <c r="E418" s="790">
        <f t="shared" si="32"/>
        <v>0</v>
      </c>
      <c r="F418" s="790">
        <f t="shared" si="26"/>
        <v>0</v>
      </c>
      <c r="G418" s="737">
        <f t="shared" si="31"/>
        <v>0</v>
      </c>
      <c r="H418" s="795">
        <f>+J355*G418+E418</f>
        <v>0</v>
      </c>
      <c r="I418" s="796">
        <f>+J356*G418+E418</f>
        <v>0</v>
      </c>
      <c r="J418" s="793">
        <f t="shared" si="33"/>
        <v>0</v>
      </c>
      <c r="K418" s="793"/>
      <c r="L418" s="813"/>
      <c r="M418" s="793">
        <f t="shared" si="27"/>
        <v>0</v>
      </c>
      <c r="N418" s="813"/>
      <c r="O418" s="793">
        <f t="shared" si="28"/>
        <v>0</v>
      </c>
      <c r="P418" s="793">
        <f t="shared" si="29"/>
        <v>0</v>
      </c>
    </row>
    <row r="419" spans="1:17" ht="13.5" thickBot="1">
      <c r="C419" s="799">
        <f>IF(D354="","-",+C418+1)</f>
        <v>2074</v>
      </c>
      <c r="D419" s="800">
        <f t="shared" si="34"/>
        <v>0</v>
      </c>
      <c r="E419" s="801">
        <f t="shared" si="32"/>
        <v>0</v>
      </c>
      <c r="F419" s="801">
        <f t="shared" si="26"/>
        <v>0</v>
      </c>
      <c r="G419" s="800">
        <f t="shared" si="31"/>
        <v>0</v>
      </c>
      <c r="H419" s="802">
        <f>+J355*G419+E419</f>
        <v>0</v>
      </c>
      <c r="I419" s="802">
        <f>+J356*G419+E419</f>
        <v>0</v>
      </c>
      <c r="J419" s="803">
        <f t="shared" si="33"/>
        <v>0</v>
      </c>
      <c r="K419" s="793"/>
      <c r="L419" s="814"/>
      <c r="M419" s="803">
        <f t="shared" si="27"/>
        <v>0</v>
      </c>
      <c r="N419" s="814"/>
      <c r="O419" s="803">
        <f t="shared" si="28"/>
        <v>0</v>
      </c>
      <c r="P419" s="803">
        <f t="shared" si="29"/>
        <v>0</v>
      </c>
    </row>
    <row r="420" spans="1:17">
      <c r="C420" s="737" t="s">
        <v>83</v>
      </c>
      <c r="D420" s="731"/>
      <c r="E420" s="731">
        <f>SUM(E360:E419)</f>
        <v>56691967.57</v>
      </c>
      <c r="F420" s="731"/>
      <c r="G420" s="731"/>
      <c r="H420" s="731">
        <f>SUM(H360:H419)</f>
        <v>189190517.47025973</v>
      </c>
      <c r="I420" s="731">
        <f>SUM(I360:I419)</f>
        <v>189190517.47025973</v>
      </c>
      <c r="J420" s="731">
        <f>SUM(J360:J419)</f>
        <v>0</v>
      </c>
      <c r="K420" s="731"/>
      <c r="L420" s="731"/>
      <c r="M420" s="731"/>
      <c r="N420" s="731"/>
      <c r="O420" s="731"/>
    </row>
    <row r="421" spans="1:17">
      <c r="D421" s="539"/>
      <c r="E421" s="314"/>
      <c r="F421" s="314"/>
      <c r="G421" s="314"/>
      <c r="H421" s="314"/>
      <c r="I421" s="709"/>
      <c r="J421" s="709"/>
      <c r="K421" s="731"/>
      <c r="L421" s="709"/>
      <c r="M421" s="709"/>
      <c r="N421" s="709"/>
      <c r="O421" s="709"/>
    </row>
    <row r="422" spans="1:17">
      <c r="C422" s="314" t="s">
        <v>13</v>
      </c>
      <c r="D422" s="539"/>
      <c r="E422" s="314"/>
      <c r="F422" s="314"/>
      <c r="G422" s="314"/>
      <c r="H422" s="314"/>
      <c r="I422" s="709"/>
      <c r="J422" s="709"/>
      <c r="K422" s="731"/>
      <c r="L422" s="709"/>
      <c r="M422" s="709"/>
      <c r="N422" s="709"/>
      <c r="O422" s="709"/>
    </row>
    <row r="423" spans="1:17">
      <c r="C423" s="314"/>
      <c r="D423" s="539"/>
      <c r="E423" s="314"/>
      <c r="F423" s="314"/>
      <c r="G423" s="314"/>
      <c r="H423" s="314"/>
      <c r="I423" s="709"/>
      <c r="J423" s="709"/>
      <c r="K423" s="731"/>
      <c r="L423" s="709"/>
      <c r="M423" s="709"/>
      <c r="N423" s="709"/>
      <c r="O423" s="709"/>
    </row>
    <row r="424" spans="1:17">
      <c r="C424" s="750" t="s">
        <v>14</v>
      </c>
      <c r="D424" s="737"/>
      <c r="E424" s="737"/>
      <c r="F424" s="737"/>
      <c r="G424" s="737"/>
      <c r="H424" s="731"/>
      <c r="I424" s="731"/>
      <c r="J424" s="805"/>
      <c r="K424" s="805"/>
      <c r="L424" s="805"/>
      <c r="M424" s="805"/>
      <c r="N424" s="805"/>
      <c r="O424" s="805"/>
    </row>
    <row r="425" spans="1:17">
      <c r="C425" s="736" t="s">
        <v>263</v>
      </c>
      <c r="D425" s="737"/>
      <c r="E425" s="737"/>
      <c r="F425" s="737"/>
      <c r="G425" s="737"/>
      <c r="H425" s="731"/>
      <c r="I425" s="731"/>
      <c r="J425" s="805"/>
      <c r="K425" s="805"/>
      <c r="L425" s="805"/>
      <c r="M425" s="805"/>
      <c r="N425" s="805"/>
      <c r="O425" s="805"/>
    </row>
    <row r="426" spans="1:17">
      <c r="C426" s="736" t="s">
        <v>84</v>
      </c>
      <c r="D426" s="737"/>
      <c r="E426" s="737"/>
      <c r="F426" s="737"/>
      <c r="G426" s="737"/>
      <c r="H426" s="731"/>
      <c r="I426" s="731"/>
      <c r="J426" s="805"/>
      <c r="K426" s="805"/>
      <c r="L426" s="805"/>
      <c r="M426" s="805"/>
      <c r="N426" s="805"/>
      <c r="O426" s="805"/>
    </row>
    <row r="428" spans="1:17" ht="20.25">
      <c r="A428" s="738" t="str">
        <f>""&amp;A353&amp;" Worksheet K -  ATRR TRUE-UP Calculation for PJM Projects Charged to Benefiting Zones"</f>
        <v xml:space="preserve"> Worksheet K -  ATRR TRUE-UP Calculation for PJM Projects Charged to Benefiting Zones</v>
      </c>
      <c r="B428" s="348"/>
      <c r="C428" s="726"/>
      <c r="D428" s="539"/>
      <c r="E428" s="314"/>
      <c r="F428" s="708"/>
      <c r="G428" s="708"/>
      <c r="H428" s="314"/>
      <c r="I428" s="709"/>
      <c r="L428" s="565"/>
      <c r="M428" s="565"/>
      <c r="N428" s="565"/>
      <c r="O428" s="654" t="str">
        <f>"Page "&amp;SUM(Q$8:Q428)&amp;" of "</f>
        <v xml:space="preserve">Page 6 of </v>
      </c>
      <c r="P428" s="655">
        <f>COUNT(Q$8:Q$57702)</f>
        <v>12</v>
      </c>
      <c r="Q428" s="739">
        <v>1</v>
      </c>
    </row>
    <row r="429" spans="1:17">
      <c r="B429" s="348"/>
      <c r="C429" s="314"/>
      <c r="D429" s="539"/>
      <c r="E429" s="314"/>
      <c r="F429" s="314"/>
      <c r="G429" s="314"/>
      <c r="H429" s="314"/>
      <c r="I429" s="709"/>
      <c r="J429" s="314"/>
      <c r="K429" s="427"/>
    </row>
    <row r="430" spans="1:17" ht="18">
      <c r="B430" s="658" t="s">
        <v>466</v>
      </c>
      <c r="C430" s="740" t="s">
        <v>85</v>
      </c>
      <c r="D430" s="539"/>
      <c r="E430" s="314"/>
      <c r="F430" s="314"/>
      <c r="G430" s="314"/>
      <c r="H430" s="314"/>
      <c r="I430" s="709"/>
      <c r="J430" s="709"/>
      <c r="K430" s="731"/>
      <c r="L430" s="709"/>
      <c r="M430" s="709"/>
      <c r="N430" s="709"/>
      <c r="O430" s="709"/>
    </row>
    <row r="431" spans="1:17" ht="18.75">
      <c r="B431" s="658"/>
      <c r="C431" s="657"/>
      <c r="D431" s="539"/>
      <c r="E431" s="314"/>
      <c r="F431" s="314"/>
      <c r="G431" s="314"/>
      <c r="H431" s="314"/>
      <c r="I431" s="709"/>
      <c r="J431" s="709"/>
      <c r="K431" s="731"/>
      <c r="L431" s="709"/>
      <c r="M431" s="709"/>
      <c r="N431" s="709"/>
      <c r="O431" s="709"/>
    </row>
    <row r="432" spans="1:17" ht="18.75">
      <c r="B432" s="658"/>
      <c r="C432" s="657" t="s">
        <v>86</v>
      </c>
      <c r="D432" s="539"/>
      <c r="E432" s="314"/>
      <c r="F432" s="314"/>
      <c r="G432" s="314"/>
      <c r="H432" s="314"/>
      <c r="I432" s="709"/>
      <c r="J432" s="709"/>
      <c r="K432" s="731"/>
      <c r="L432" s="709"/>
      <c r="M432" s="709"/>
      <c r="N432" s="709"/>
      <c r="O432" s="709"/>
    </row>
    <row r="433" spans="2:16" ht="15.75" thickBot="1">
      <c r="C433" s="240"/>
      <c r="D433" s="539"/>
      <c r="E433" s="314"/>
      <c r="F433" s="314"/>
      <c r="G433" s="314"/>
      <c r="H433" s="314"/>
      <c r="I433" s="709"/>
      <c r="J433" s="709"/>
      <c r="K433" s="731"/>
      <c r="L433" s="709"/>
      <c r="M433" s="709"/>
      <c r="N433" s="709"/>
      <c r="O433" s="709"/>
    </row>
    <row r="434" spans="2:16" ht="15.75">
      <c r="C434" s="660" t="s">
        <v>87</v>
      </c>
      <c r="D434" s="539"/>
      <c r="E434" s="314"/>
      <c r="F434" s="314"/>
      <c r="G434" s="314"/>
      <c r="H434" s="807"/>
      <c r="I434" s="314" t="s">
        <v>66</v>
      </c>
      <c r="J434" s="314"/>
      <c r="K434" s="427"/>
      <c r="L434" s="836">
        <f>+J440</f>
        <v>2022</v>
      </c>
      <c r="M434" s="817" t="s">
        <v>45</v>
      </c>
      <c r="N434" s="817" t="s">
        <v>46</v>
      </c>
      <c r="O434" s="818" t="s">
        <v>47</v>
      </c>
    </row>
    <row r="435" spans="2:16" ht="15.75">
      <c r="C435" s="660"/>
      <c r="D435" s="539"/>
      <c r="E435" s="314"/>
      <c r="F435" s="314"/>
      <c r="H435" s="314"/>
      <c r="I435" s="745"/>
      <c r="J435" s="745"/>
      <c r="K435" s="746"/>
      <c r="L435" s="837" t="s">
        <v>235</v>
      </c>
      <c r="M435" s="838">
        <f>VLOOKUP(J440,C447:P506,10)</f>
        <v>2525362.8401380824</v>
      </c>
      <c r="N435" s="838">
        <f>VLOOKUP(J440,C447:P506,12)</f>
        <v>2525362.8401380824</v>
      </c>
      <c r="O435" s="839">
        <f>+N435-M435</f>
        <v>0</v>
      </c>
    </row>
    <row r="436" spans="2:16">
      <c r="C436" s="750" t="s">
        <v>88</v>
      </c>
      <c r="D436" s="1567" t="s">
        <v>815</v>
      </c>
      <c r="E436" s="1567"/>
      <c r="F436" s="1567"/>
      <c r="G436" s="1567"/>
      <c r="H436" s="1567"/>
      <c r="I436" s="1567"/>
      <c r="J436" s="709"/>
      <c r="K436" s="731"/>
      <c r="L436" s="837" t="s">
        <v>236</v>
      </c>
      <c r="M436" s="840">
        <f>VLOOKUP(J440,C447:P506,6)</f>
        <v>2568189.2001852118</v>
      </c>
      <c r="N436" s="840">
        <f>VLOOKUP(J440,C447:P506,7)</f>
        <v>2568189.2001852118</v>
      </c>
      <c r="O436" s="841">
        <f>+N436-M436</f>
        <v>0</v>
      </c>
    </row>
    <row r="437" spans="2:16" ht="13.5" thickBot="1">
      <c r="C437" s="754"/>
      <c r="D437" s="755"/>
      <c r="E437" s="735"/>
      <c r="F437" s="735"/>
      <c r="G437" s="735"/>
      <c r="H437" s="756"/>
      <c r="I437" s="709"/>
      <c r="J437" s="709"/>
      <c r="K437" s="731"/>
      <c r="L437" s="773" t="s">
        <v>237</v>
      </c>
      <c r="M437" s="842">
        <f>+M436-M435</f>
        <v>42826.360047129449</v>
      </c>
      <c r="N437" s="842">
        <f>+N436-N435</f>
        <v>42826.360047129449</v>
      </c>
      <c r="O437" s="843">
        <f>+O436-O435</f>
        <v>0</v>
      </c>
    </row>
    <row r="438" spans="2:16" ht="13.5" thickBot="1">
      <c r="C438" s="757"/>
      <c r="D438" s="758"/>
      <c r="E438" s="756"/>
      <c r="F438" s="756"/>
      <c r="G438" s="756"/>
      <c r="H438" s="756"/>
      <c r="I438" s="756"/>
      <c r="J438" s="756"/>
      <c r="K438" s="759"/>
      <c r="L438" s="756"/>
      <c r="M438" s="756"/>
      <c r="N438" s="756"/>
      <c r="O438" s="756"/>
      <c r="P438" s="348"/>
    </row>
    <row r="439" spans="2:16" ht="13.5" thickBot="1">
      <c r="C439" s="760" t="s">
        <v>89</v>
      </c>
      <c r="D439" s="761"/>
      <c r="E439" s="761"/>
      <c r="F439" s="761"/>
      <c r="G439" s="761"/>
      <c r="H439" s="761"/>
      <c r="I439" s="761"/>
      <c r="J439" s="761"/>
      <c r="K439" s="763"/>
      <c r="P439" s="764"/>
    </row>
    <row r="440" spans="2:16" ht="15">
      <c r="C440" s="765" t="s">
        <v>67</v>
      </c>
      <c r="D440" s="809">
        <v>21756984.210000001</v>
      </c>
      <c r="E440" s="726" t="s">
        <v>68</v>
      </c>
      <c r="H440" s="766"/>
      <c r="I440" s="766"/>
      <c r="J440" s="767">
        <f>$J$93</f>
        <v>2022</v>
      </c>
      <c r="K440" s="555"/>
      <c r="L440" s="1569" t="s">
        <v>69</v>
      </c>
      <c r="M440" s="1569"/>
      <c r="N440" s="1569"/>
      <c r="O440" s="1569"/>
      <c r="P440" s="427"/>
    </row>
    <row r="441" spans="2:16">
      <c r="C441" s="765" t="s">
        <v>70</v>
      </c>
      <c r="D441" s="810">
        <v>2015</v>
      </c>
      <c r="E441" s="765" t="s">
        <v>71</v>
      </c>
      <c r="F441" s="766"/>
      <c r="G441" s="766"/>
      <c r="I441" s="173"/>
      <c r="J441" s="811">
        <f>IF(H434="",0,$F$17)</f>
        <v>0</v>
      </c>
      <c r="K441" s="768"/>
      <c r="L441" s="731" t="s">
        <v>277</v>
      </c>
      <c r="P441" s="427"/>
    </row>
    <row r="442" spans="2:16">
      <c r="C442" s="765" t="s">
        <v>72</v>
      </c>
      <c r="D442" s="809">
        <v>12</v>
      </c>
      <c r="E442" s="765" t="s">
        <v>73</v>
      </c>
      <c r="F442" s="766"/>
      <c r="G442" s="766"/>
      <c r="I442" s="173"/>
      <c r="J442" s="769">
        <f>$F$70</f>
        <v>0.11129362813814259</v>
      </c>
      <c r="K442" s="770"/>
      <c r="L442" s="314" t="str">
        <f>"          INPUT TRUE-UP ARR (WITH &amp; WITHOUT INCENTIVES) FROM EACH PRIOR YEAR"</f>
        <v xml:space="preserve">          INPUT TRUE-UP ARR (WITH &amp; WITHOUT INCENTIVES) FROM EACH PRIOR YEAR</v>
      </c>
      <c r="P442" s="427"/>
    </row>
    <row r="443" spans="2:16">
      <c r="C443" s="765" t="s">
        <v>74</v>
      </c>
      <c r="D443" s="771">
        <f>H$79</f>
        <v>41</v>
      </c>
      <c r="E443" s="765" t="s">
        <v>75</v>
      </c>
      <c r="F443" s="766"/>
      <c r="G443" s="766"/>
      <c r="I443" s="173"/>
      <c r="J443" s="769">
        <f>IF(H434="",+J442,$F$69)</f>
        <v>0.11129362813814259</v>
      </c>
      <c r="K443" s="772"/>
      <c r="L443" s="314" t="s">
        <v>157</v>
      </c>
      <c r="M443" s="772"/>
      <c r="N443" s="772"/>
      <c r="O443" s="772"/>
      <c r="P443" s="427"/>
    </row>
    <row r="444" spans="2:16" ht="13.5" thickBot="1">
      <c r="C444" s="765" t="s">
        <v>76</v>
      </c>
      <c r="D444" s="808" t="s">
        <v>811</v>
      </c>
      <c r="E444" s="773" t="s">
        <v>77</v>
      </c>
      <c r="F444" s="774"/>
      <c r="G444" s="774"/>
      <c r="H444" s="775"/>
      <c r="I444" s="775"/>
      <c r="J444" s="753">
        <f>IF(D440=0,0,D440/D443)</f>
        <v>530658.15146341466</v>
      </c>
      <c r="K444" s="731"/>
      <c r="L444" s="731" t="s">
        <v>158</v>
      </c>
      <c r="M444" s="731"/>
      <c r="N444" s="731"/>
      <c r="O444" s="731"/>
      <c r="P444" s="427"/>
    </row>
    <row r="445" spans="2:16" ht="38.25">
      <c r="B445" s="846"/>
      <c r="C445" s="776" t="s">
        <v>67</v>
      </c>
      <c r="D445" s="777" t="s">
        <v>78</v>
      </c>
      <c r="E445" s="778" t="s">
        <v>79</v>
      </c>
      <c r="F445" s="777" t="s">
        <v>80</v>
      </c>
      <c r="G445" s="777" t="s">
        <v>238</v>
      </c>
      <c r="H445" s="778" t="s">
        <v>151</v>
      </c>
      <c r="I445" s="779" t="s">
        <v>151</v>
      </c>
      <c r="J445" s="776" t="s">
        <v>90</v>
      </c>
      <c r="K445" s="780"/>
      <c r="L445" s="778" t="s">
        <v>153</v>
      </c>
      <c r="M445" s="778" t="s">
        <v>159</v>
      </c>
      <c r="N445" s="778" t="s">
        <v>153</v>
      </c>
      <c r="O445" s="778" t="s">
        <v>161</v>
      </c>
      <c r="P445" s="778" t="s">
        <v>81</v>
      </c>
    </row>
    <row r="446" spans="2:16" ht="13.5" thickBot="1">
      <c r="C446" s="782" t="s">
        <v>469</v>
      </c>
      <c r="D446" s="783" t="s">
        <v>470</v>
      </c>
      <c r="E446" s="782" t="s">
        <v>363</v>
      </c>
      <c r="F446" s="783" t="s">
        <v>470</v>
      </c>
      <c r="G446" s="783" t="s">
        <v>470</v>
      </c>
      <c r="H446" s="784" t="s">
        <v>93</v>
      </c>
      <c r="I446" s="785" t="s">
        <v>95</v>
      </c>
      <c r="J446" s="786" t="s">
        <v>15</v>
      </c>
      <c r="K446" s="787"/>
      <c r="L446" s="784" t="s">
        <v>82</v>
      </c>
      <c r="M446" s="784" t="s">
        <v>82</v>
      </c>
      <c r="N446" s="784" t="s">
        <v>255</v>
      </c>
      <c r="O446" s="784" t="s">
        <v>255</v>
      </c>
      <c r="P446" s="784" t="s">
        <v>255</v>
      </c>
    </row>
    <row r="447" spans="2:16">
      <c r="C447" s="789">
        <f>IF(D441= "","-",D441)</f>
        <v>2015</v>
      </c>
      <c r="D447" s="737">
        <f>+D440</f>
        <v>21756984.210000001</v>
      </c>
      <c r="E447" s="795">
        <f>+J444/12*(12-D442)</f>
        <v>0</v>
      </c>
      <c r="F447" s="844">
        <f t="shared" ref="F447:F506" si="35">+D447-E447</f>
        <v>21756984.210000001</v>
      </c>
      <c r="G447" s="737">
        <f>+(D447+F447)/2</f>
        <v>21756984.210000001</v>
      </c>
      <c r="H447" s="791">
        <f>+J442*G447+E447</f>
        <v>2421413.71007518</v>
      </c>
      <c r="I447" s="792">
        <f>+J443*G447+E447</f>
        <v>2421413.71007518</v>
      </c>
      <c r="J447" s="793">
        <f>+I447-H447</f>
        <v>0</v>
      </c>
      <c r="K447" s="793"/>
      <c r="L447" s="812">
        <v>2348715</v>
      </c>
      <c r="M447" s="845">
        <f t="shared" ref="M447:M506" si="36">IF(L447&lt;&gt;0,+H447-L447,0)</f>
        <v>72698.710075180046</v>
      </c>
      <c r="N447" s="812">
        <v>2348715</v>
      </c>
      <c r="O447" s="845">
        <f t="shared" ref="O447:O506" si="37">IF(N447&lt;&gt;0,+I447-N447,0)</f>
        <v>72698.710075180046</v>
      </c>
      <c r="P447" s="845">
        <f t="shared" ref="P447:P506" si="38">+O447-M447</f>
        <v>0</v>
      </c>
    </row>
    <row r="448" spans="2:16">
      <c r="C448" s="789">
        <f>IF(D441="","-",+C447+1)</f>
        <v>2016</v>
      </c>
      <c r="D448" s="737">
        <f t="shared" ref="D448:D500" si="39">F447</f>
        <v>21756984.210000001</v>
      </c>
      <c r="E448" s="790">
        <f>IF(D448&gt;$J$444,$J$444,D448)</f>
        <v>530658.15146341466</v>
      </c>
      <c r="F448" s="790">
        <f t="shared" si="35"/>
        <v>21226326.058536585</v>
      </c>
      <c r="G448" s="737">
        <f t="shared" ref="G448:G506" si="40">+(D448+F448)/2</f>
        <v>21491655.134268291</v>
      </c>
      <c r="H448" s="795">
        <f>+J442*G448+E448</f>
        <v>2922542.4260498728</v>
      </c>
      <c r="I448" s="796">
        <f>+J443*G448+E448</f>
        <v>2922542.4260498728</v>
      </c>
      <c r="J448" s="793">
        <f>+I448-H448</f>
        <v>0</v>
      </c>
      <c r="K448" s="793"/>
      <c r="L448" s="813">
        <v>2575052</v>
      </c>
      <c r="M448" s="793">
        <f t="shared" si="36"/>
        <v>347490.42604987277</v>
      </c>
      <c r="N448" s="813">
        <v>2575052</v>
      </c>
      <c r="O448" s="793">
        <f t="shared" si="37"/>
        <v>347490.42604987277</v>
      </c>
      <c r="P448" s="793">
        <f t="shared" si="38"/>
        <v>0</v>
      </c>
    </row>
    <row r="449" spans="3:16">
      <c r="C449" s="789">
        <f>IF(D441="","-",+C448+1)</f>
        <v>2017</v>
      </c>
      <c r="D449" s="737">
        <f t="shared" si="39"/>
        <v>21226326.058536585</v>
      </c>
      <c r="E449" s="790">
        <f t="shared" ref="E449:E506" si="41">IF(D449&gt;$J$444,$J$444,D449)</f>
        <v>530658.15146341466</v>
      </c>
      <c r="F449" s="790">
        <f t="shared" si="35"/>
        <v>20695667.90707317</v>
      </c>
      <c r="G449" s="737">
        <f t="shared" si="40"/>
        <v>20960996.98280488</v>
      </c>
      <c r="H449" s="795">
        <f>+J442*G449+E449</f>
        <v>2863483.5550724296</v>
      </c>
      <c r="I449" s="796">
        <f>+J443*G449+E449</f>
        <v>2863483.5550724296</v>
      </c>
      <c r="J449" s="793">
        <f t="shared" ref="J449:J506" si="42">+I449-H449</f>
        <v>0</v>
      </c>
      <c r="K449" s="793"/>
      <c r="L449" s="813">
        <v>2745014</v>
      </c>
      <c r="M449" s="793">
        <f t="shared" si="36"/>
        <v>118469.55507242959</v>
      </c>
      <c r="N449" s="813">
        <v>2745014</v>
      </c>
      <c r="O449" s="793">
        <f t="shared" si="37"/>
        <v>118469.55507242959</v>
      </c>
      <c r="P449" s="793">
        <f t="shared" si="38"/>
        <v>0</v>
      </c>
    </row>
    <row r="450" spans="3:16">
      <c r="C450" s="789">
        <f>IF(D441="","-",+C449+1)</f>
        <v>2018</v>
      </c>
      <c r="D450" s="1377">
        <f t="shared" si="39"/>
        <v>20695667.90707317</v>
      </c>
      <c r="E450" s="790">
        <f t="shared" si="41"/>
        <v>530658.15146341466</v>
      </c>
      <c r="F450" s="790">
        <f t="shared" si="35"/>
        <v>20165009.755609754</v>
      </c>
      <c r="G450" s="737">
        <f t="shared" si="40"/>
        <v>20430338.83134146</v>
      </c>
      <c r="H450" s="795">
        <f>+J442*G450+E450</f>
        <v>2804424.6840949855</v>
      </c>
      <c r="I450" s="796">
        <f>+J443*G450+E450</f>
        <v>2804424.6840949855</v>
      </c>
      <c r="J450" s="793">
        <f t="shared" si="42"/>
        <v>0</v>
      </c>
      <c r="K450" s="793"/>
      <c r="L450" s="813">
        <v>2387052</v>
      </c>
      <c r="M450" s="793">
        <f t="shared" si="36"/>
        <v>417372.68409498548</v>
      </c>
      <c r="N450" s="813">
        <v>2387052</v>
      </c>
      <c r="O450" s="793">
        <f t="shared" si="37"/>
        <v>417372.68409498548</v>
      </c>
      <c r="P450" s="793">
        <f t="shared" si="38"/>
        <v>0</v>
      </c>
    </row>
    <row r="451" spans="3:16">
      <c r="C451" s="789">
        <f>IF(D441="","-",+C450+1)</f>
        <v>2019</v>
      </c>
      <c r="D451" s="737">
        <f t="shared" si="39"/>
        <v>20165009.755609754</v>
      </c>
      <c r="E451" s="790">
        <f t="shared" si="41"/>
        <v>530658.15146341466</v>
      </c>
      <c r="F451" s="790">
        <f t="shared" si="35"/>
        <v>19634351.604146339</v>
      </c>
      <c r="G451" s="737">
        <f t="shared" si="40"/>
        <v>19899680.679878049</v>
      </c>
      <c r="H451" s="795">
        <f>+J442*G451+E451</f>
        <v>2745365.8131175423</v>
      </c>
      <c r="I451" s="796">
        <f>+J443*G451+E451</f>
        <v>2745365.8131175423</v>
      </c>
      <c r="J451" s="793">
        <f t="shared" si="42"/>
        <v>0</v>
      </c>
      <c r="K451" s="793"/>
      <c r="L451" s="813">
        <v>2545928.246515369</v>
      </c>
      <c r="M451" s="793">
        <f t="shared" si="36"/>
        <v>199437.56660217326</v>
      </c>
      <c r="N451" s="813">
        <v>2545928.246515369</v>
      </c>
      <c r="O451" s="793">
        <f t="shared" si="37"/>
        <v>199437.56660217326</v>
      </c>
      <c r="P451" s="793">
        <f t="shared" si="38"/>
        <v>0</v>
      </c>
    </row>
    <row r="452" spans="3:16">
      <c r="C452" s="789">
        <f>IF(D441="","-",+C451+1)</f>
        <v>2020</v>
      </c>
      <c r="D452" s="737">
        <f t="shared" si="39"/>
        <v>19634351.604146339</v>
      </c>
      <c r="E452" s="790">
        <f t="shared" si="41"/>
        <v>530658.15146341466</v>
      </c>
      <c r="F452" s="790">
        <f t="shared" si="35"/>
        <v>19103693.452682924</v>
      </c>
      <c r="G452" s="737">
        <f t="shared" si="40"/>
        <v>19369022.528414629</v>
      </c>
      <c r="H452" s="795">
        <f>+J442*G452+E452</f>
        <v>2686306.9421400987</v>
      </c>
      <c r="I452" s="796">
        <f>+J443*G452+E452</f>
        <v>2686306.9421400987</v>
      </c>
      <c r="J452" s="793">
        <f t="shared" si="42"/>
        <v>0</v>
      </c>
      <c r="K452" s="793"/>
      <c r="L452" s="813">
        <v>2519395.1665153117</v>
      </c>
      <c r="M452" s="793">
        <f t="shared" si="36"/>
        <v>166911.77562478697</v>
      </c>
      <c r="N452" s="813">
        <v>2519395.1665153117</v>
      </c>
      <c r="O452" s="793">
        <f t="shared" si="37"/>
        <v>166911.77562478697</v>
      </c>
      <c r="P452" s="793">
        <f t="shared" si="38"/>
        <v>0</v>
      </c>
    </row>
    <row r="453" spans="3:16">
      <c r="C453" s="789">
        <f>IF(D441="","-",+C452+1)</f>
        <v>2021</v>
      </c>
      <c r="D453" s="737">
        <f t="shared" si="39"/>
        <v>19103693.452682924</v>
      </c>
      <c r="E453" s="790">
        <f t="shared" si="41"/>
        <v>530658.15146341466</v>
      </c>
      <c r="F453" s="790">
        <f t="shared" si="35"/>
        <v>18573035.301219508</v>
      </c>
      <c r="G453" s="737">
        <f t="shared" si="40"/>
        <v>18838364.376951218</v>
      </c>
      <c r="H453" s="795">
        <f>+J442*G453+E453</f>
        <v>2627248.0711626555</v>
      </c>
      <c r="I453" s="796">
        <f>+J443*G453+E453</f>
        <v>2627248.0711626555</v>
      </c>
      <c r="J453" s="793">
        <f t="shared" si="42"/>
        <v>0</v>
      </c>
      <c r="K453" s="793"/>
      <c r="L453" s="813">
        <v>2532044.061637044</v>
      </c>
      <c r="M453" s="793">
        <f t="shared" si="36"/>
        <v>95204.009525611531</v>
      </c>
      <c r="N453" s="813">
        <v>2532044.061637044</v>
      </c>
      <c r="O453" s="793">
        <f t="shared" si="37"/>
        <v>95204.009525611531</v>
      </c>
      <c r="P453" s="793">
        <f t="shared" si="38"/>
        <v>0</v>
      </c>
    </row>
    <row r="454" spans="3:16">
      <c r="C454" s="789">
        <f>IF(D441="","-",+C453+1)</f>
        <v>2022</v>
      </c>
      <c r="D454" s="737">
        <f t="shared" si="39"/>
        <v>18573035.301219508</v>
      </c>
      <c r="E454" s="790">
        <f t="shared" si="41"/>
        <v>530658.15146341466</v>
      </c>
      <c r="F454" s="790">
        <f t="shared" si="35"/>
        <v>18042377.149756093</v>
      </c>
      <c r="G454" s="737">
        <f t="shared" si="40"/>
        <v>18307706.225487798</v>
      </c>
      <c r="H454" s="795">
        <f>+J442*G454+E454</f>
        <v>2568189.2001852118</v>
      </c>
      <c r="I454" s="796">
        <f>+J443*G454+E454</f>
        <v>2568189.2001852118</v>
      </c>
      <c r="J454" s="793">
        <f t="shared" si="42"/>
        <v>0</v>
      </c>
      <c r="K454" s="793"/>
      <c r="L454" s="813">
        <v>2525362.8401380824</v>
      </c>
      <c r="M454" s="793">
        <f t="shared" si="36"/>
        <v>42826.360047129449</v>
      </c>
      <c r="N454" s="813">
        <v>2525362.8401380824</v>
      </c>
      <c r="O454" s="793">
        <f t="shared" si="37"/>
        <v>42826.360047129449</v>
      </c>
      <c r="P454" s="793">
        <f t="shared" si="38"/>
        <v>0</v>
      </c>
    </row>
    <row r="455" spans="3:16">
      <c r="C455" s="789">
        <f>IF(D441="","-",+C454+1)</f>
        <v>2023</v>
      </c>
      <c r="D455" s="737">
        <f t="shared" si="39"/>
        <v>18042377.149756093</v>
      </c>
      <c r="E455" s="790">
        <f t="shared" si="41"/>
        <v>530658.15146341466</v>
      </c>
      <c r="F455" s="790">
        <f t="shared" si="35"/>
        <v>17511718.998292677</v>
      </c>
      <c r="G455" s="737">
        <f t="shared" si="40"/>
        <v>17777048.074024387</v>
      </c>
      <c r="H455" s="795">
        <f>+J442*G455+E455</f>
        <v>2509130.3292077687</v>
      </c>
      <c r="I455" s="796">
        <f>+J443*G455+E455</f>
        <v>2509130.3292077687</v>
      </c>
      <c r="J455" s="793">
        <f t="shared" si="42"/>
        <v>0</v>
      </c>
      <c r="K455" s="793"/>
      <c r="L455" s="813"/>
      <c r="M455" s="793">
        <f t="shared" si="36"/>
        <v>0</v>
      </c>
      <c r="N455" s="813"/>
      <c r="O455" s="793">
        <f t="shared" si="37"/>
        <v>0</v>
      </c>
      <c r="P455" s="793">
        <f t="shared" si="38"/>
        <v>0</v>
      </c>
    </row>
    <row r="456" spans="3:16">
      <c r="C456" s="789">
        <f>IF(D441="","-",+C455+1)</f>
        <v>2024</v>
      </c>
      <c r="D456" s="737">
        <f t="shared" si="39"/>
        <v>17511718.998292677</v>
      </c>
      <c r="E456" s="790">
        <f t="shared" si="41"/>
        <v>530658.15146341466</v>
      </c>
      <c r="F456" s="790">
        <f t="shared" si="35"/>
        <v>16981060.846829262</v>
      </c>
      <c r="G456" s="737">
        <f t="shared" si="40"/>
        <v>17246389.922560968</v>
      </c>
      <c r="H456" s="795">
        <f>+J442*G456+E456</f>
        <v>2450071.4582303246</v>
      </c>
      <c r="I456" s="796">
        <f>+J443*G456+E456</f>
        <v>2450071.4582303246</v>
      </c>
      <c r="J456" s="793">
        <f t="shared" si="42"/>
        <v>0</v>
      </c>
      <c r="K456" s="793"/>
      <c r="L456" s="813"/>
      <c r="M456" s="793">
        <f t="shared" si="36"/>
        <v>0</v>
      </c>
      <c r="N456" s="813"/>
      <c r="O456" s="793">
        <f t="shared" si="37"/>
        <v>0</v>
      </c>
      <c r="P456" s="793">
        <f t="shared" si="38"/>
        <v>0</v>
      </c>
    </row>
    <row r="457" spans="3:16">
      <c r="C457" s="789">
        <f>IF(D441="","-",+C456+1)</f>
        <v>2025</v>
      </c>
      <c r="D457" s="737">
        <f t="shared" si="39"/>
        <v>16981060.846829262</v>
      </c>
      <c r="E457" s="790">
        <f t="shared" si="41"/>
        <v>530658.15146341466</v>
      </c>
      <c r="F457" s="790">
        <f t="shared" si="35"/>
        <v>16450402.695365846</v>
      </c>
      <c r="G457" s="737">
        <f t="shared" si="40"/>
        <v>16715731.771097554</v>
      </c>
      <c r="H457" s="795">
        <f>+J442*G457+E457</f>
        <v>2391012.5872528814</v>
      </c>
      <c r="I457" s="796">
        <f>+J443*G457+E457</f>
        <v>2391012.5872528814</v>
      </c>
      <c r="J457" s="793">
        <f t="shared" si="42"/>
        <v>0</v>
      </c>
      <c r="K457" s="793"/>
      <c r="L457" s="813"/>
      <c r="M457" s="793">
        <f t="shared" si="36"/>
        <v>0</v>
      </c>
      <c r="N457" s="813"/>
      <c r="O457" s="793">
        <f t="shared" si="37"/>
        <v>0</v>
      </c>
      <c r="P457" s="793">
        <f t="shared" si="38"/>
        <v>0</v>
      </c>
    </row>
    <row r="458" spans="3:16">
      <c r="C458" s="789">
        <f>IF(D441="","-",+C457+1)</f>
        <v>2026</v>
      </c>
      <c r="D458" s="737">
        <f t="shared" si="39"/>
        <v>16450402.695365846</v>
      </c>
      <c r="E458" s="790">
        <f t="shared" si="41"/>
        <v>530658.15146341466</v>
      </c>
      <c r="F458" s="790">
        <f t="shared" si="35"/>
        <v>15919744.543902431</v>
      </c>
      <c r="G458" s="737">
        <f t="shared" si="40"/>
        <v>16185073.619634138</v>
      </c>
      <c r="H458" s="795">
        <f>+J442*G458+E458</f>
        <v>2331953.7162754377</v>
      </c>
      <c r="I458" s="796">
        <f>+J443*G458+E458</f>
        <v>2331953.7162754377</v>
      </c>
      <c r="J458" s="793">
        <f t="shared" si="42"/>
        <v>0</v>
      </c>
      <c r="K458" s="793"/>
      <c r="L458" s="813"/>
      <c r="M458" s="793">
        <f t="shared" si="36"/>
        <v>0</v>
      </c>
      <c r="N458" s="813"/>
      <c r="O458" s="793">
        <f t="shared" si="37"/>
        <v>0</v>
      </c>
      <c r="P458" s="793">
        <f t="shared" si="38"/>
        <v>0</v>
      </c>
    </row>
    <row r="459" spans="3:16">
      <c r="C459" s="789">
        <f>IF(D441="","-",+C458+1)</f>
        <v>2027</v>
      </c>
      <c r="D459" s="737">
        <f t="shared" si="39"/>
        <v>15919744.543902431</v>
      </c>
      <c r="E459" s="790">
        <f t="shared" si="41"/>
        <v>530658.15146341466</v>
      </c>
      <c r="F459" s="790">
        <f t="shared" si="35"/>
        <v>15389086.392439015</v>
      </c>
      <c r="G459" s="737">
        <f t="shared" si="40"/>
        <v>15654415.468170723</v>
      </c>
      <c r="H459" s="795">
        <f>+J442*G459+E459</f>
        <v>2272894.8452979946</v>
      </c>
      <c r="I459" s="796">
        <f>+J443*G459+E459</f>
        <v>2272894.8452979946</v>
      </c>
      <c r="J459" s="793">
        <f t="shared" si="42"/>
        <v>0</v>
      </c>
      <c r="K459" s="793"/>
      <c r="L459" s="813"/>
      <c r="M459" s="793">
        <f t="shared" si="36"/>
        <v>0</v>
      </c>
      <c r="N459" s="813"/>
      <c r="O459" s="793">
        <f t="shared" si="37"/>
        <v>0</v>
      </c>
      <c r="P459" s="793">
        <f t="shared" si="38"/>
        <v>0</v>
      </c>
    </row>
    <row r="460" spans="3:16">
      <c r="C460" s="789">
        <f>IF(D441="","-",+C459+1)</f>
        <v>2028</v>
      </c>
      <c r="D460" s="737">
        <f t="shared" si="39"/>
        <v>15389086.392439015</v>
      </c>
      <c r="E460" s="790">
        <f t="shared" si="41"/>
        <v>530658.15146341466</v>
      </c>
      <c r="F460" s="790">
        <f t="shared" si="35"/>
        <v>14858428.2409756</v>
      </c>
      <c r="G460" s="737">
        <f t="shared" si="40"/>
        <v>15123757.316707307</v>
      </c>
      <c r="H460" s="795">
        <f>+J442*G460+E460</f>
        <v>2213835.9743205509</v>
      </c>
      <c r="I460" s="796">
        <f>+J443*G460+E460</f>
        <v>2213835.9743205509</v>
      </c>
      <c r="J460" s="793">
        <f t="shared" si="42"/>
        <v>0</v>
      </c>
      <c r="K460" s="793"/>
      <c r="L460" s="813"/>
      <c r="M460" s="793">
        <f t="shared" si="36"/>
        <v>0</v>
      </c>
      <c r="N460" s="813"/>
      <c r="O460" s="793">
        <f t="shared" si="37"/>
        <v>0</v>
      </c>
      <c r="P460" s="793">
        <f t="shared" si="38"/>
        <v>0</v>
      </c>
    </row>
    <row r="461" spans="3:16">
      <c r="C461" s="789">
        <f>IF(D441="","-",+C460+1)</f>
        <v>2029</v>
      </c>
      <c r="D461" s="737">
        <f t="shared" si="39"/>
        <v>14858428.2409756</v>
      </c>
      <c r="E461" s="790">
        <f t="shared" si="41"/>
        <v>530658.15146341466</v>
      </c>
      <c r="F461" s="790">
        <f t="shared" si="35"/>
        <v>14327770.089512184</v>
      </c>
      <c r="G461" s="737">
        <f t="shared" si="40"/>
        <v>14593099.165243892</v>
      </c>
      <c r="H461" s="795">
        <f>+J442*G461+E461</f>
        <v>2154777.1033431073</v>
      </c>
      <c r="I461" s="796">
        <f>+J443*G461+E461</f>
        <v>2154777.1033431073</v>
      </c>
      <c r="J461" s="793">
        <f t="shared" si="42"/>
        <v>0</v>
      </c>
      <c r="K461" s="793"/>
      <c r="L461" s="813"/>
      <c r="M461" s="793">
        <f t="shared" si="36"/>
        <v>0</v>
      </c>
      <c r="N461" s="813"/>
      <c r="O461" s="793">
        <f t="shared" si="37"/>
        <v>0</v>
      </c>
      <c r="P461" s="793">
        <f t="shared" si="38"/>
        <v>0</v>
      </c>
    </row>
    <row r="462" spans="3:16">
      <c r="C462" s="789">
        <f>IF(D441="","-",+C461+1)</f>
        <v>2030</v>
      </c>
      <c r="D462" s="737">
        <f t="shared" si="39"/>
        <v>14327770.089512184</v>
      </c>
      <c r="E462" s="790">
        <f t="shared" si="41"/>
        <v>530658.15146341466</v>
      </c>
      <c r="F462" s="790">
        <f t="shared" si="35"/>
        <v>13797111.938048769</v>
      </c>
      <c r="G462" s="737">
        <f t="shared" si="40"/>
        <v>14062441.013780477</v>
      </c>
      <c r="H462" s="795">
        <f>+J442*G462+E462</f>
        <v>2095718.2323656636</v>
      </c>
      <c r="I462" s="796">
        <f>+J443*G462+E462</f>
        <v>2095718.2323656636</v>
      </c>
      <c r="J462" s="793">
        <f t="shared" si="42"/>
        <v>0</v>
      </c>
      <c r="K462" s="793"/>
      <c r="L462" s="813"/>
      <c r="M462" s="793">
        <f t="shared" si="36"/>
        <v>0</v>
      </c>
      <c r="N462" s="813"/>
      <c r="O462" s="793">
        <f t="shared" si="37"/>
        <v>0</v>
      </c>
      <c r="P462" s="793">
        <f t="shared" si="38"/>
        <v>0</v>
      </c>
    </row>
    <row r="463" spans="3:16">
      <c r="C463" s="789">
        <f>IF(D441="","-",+C462+1)</f>
        <v>2031</v>
      </c>
      <c r="D463" s="737">
        <f t="shared" si="39"/>
        <v>13797111.938048769</v>
      </c>
      <c r="E463" s="790">
        <f t="shared" si="41"/>
        <v>530658.15146341466</v>
      </c>
      <c r="F463" s="790">
        <f t="shared" si="35"/>
        <v>13266453.786585353</v>
      </c>
      <c r="G463" s="737">
        <f t="shared" si="40"/>
        <v>13531782.862317061</v>
      </c>
      <c r="H463" s="795">
        <f>+J442*G463+E463</f>
        <v>2036659.3613882205</v>
      </c>
      <c r="I463" s="796">
        <f>+J443*G463+E463</f>
        <v>2036659.3613882205</v>
      </c>
      <c r="J463" s="793">
        <f t="shared" si="42"/>
        <v>0</v>
      </c>
      <c r="K463" s="793"/>
      <c r="L463" s="813"/>
      <c r="M463" s="793">
        <f t="shared" si="36"/>
        <v>0</v>
      </c>
      <c r="N463" s="813"/>
      <c r="O463" s="793">
        <f t="shared" si="37"/>
        <v>0</v>
      </c>
      <c r="P463" s="793">
        <f t="shared" si="38"/>
        <v>0</v>
      </c>
    </row>
    <row r="464" spans="3:16">
      <c r="C464" s="789">
        <f>IF(D441="","-",+C463+1)</f>
        <v>2032</v>
      </c>
      <c r="D464" s="737">
        <f t="shared" si="39"/>
        <v>13266453.786585353</v>
      </c>
      <c r="E464" s="790">
        <f t="shared" si="41"/>
        <v>530658.15146341466</v>
      </c>
      <c r="F464" s="790">
        <f t="shared" si="35"/>
        <v>12735795.635121938</v>
      </c>
      <c r="G464" s="737">
        <f t="shared" si="40"/>
        <v>13001124.710853646</v>
      </c>
      <c r="H464" s="795">
        <f>+J442*G464+E464</f>
        <v>1977600.4904107768</v>
      </c>
      <c r="I464" s="796">
        <f>+J443*G464+E464</f>
        <v>1977600.4904107768</v>
      </c>
      <c r="J464" s="793">
        <f t="shared" si="42"/>
        <v>0</v>
      </c>
      <c r="K464" s="793"/>
      <c r="L464" s="813"/>
      <c r="M464" s="793">
        <f t="shared" si="36"/>
        <v>0</v>
      </c>
      <c r="N464" s="813"/>
      <c r="O464" s="793">
        <f t="shared" si="37"/>
        <v>0</v>
      </c>
      <c r="P464" s="793">
        <f t="shared" si="38"/>
        <v>0</v>
      </c>
    </row>
    <row r="465" spans="3:16">
      <c r="C465" s="789">
        <f>IF(D441="","-",+C464+1)</f>
        <v>2033</v>
      </c>
      <c r="D465" s="737">
        <f t="shared" si="39"/>
        <v>12735795.635121938</v>
      </c>
      <c r="E465" s="790">
        <f t="shared" si="41"/>
        <v>530658.15146341466</v>
      </c>
      <c r="F465" s="790">
        <f t="shared" si="35"/>
        <v>12205137.483658522</v>
      </c>
      <c r="G465" s="737">
        <f t="shared" si="40"/>
        <v>12470466.55939023</v>
      </c>
      <c r="H465" s="795">
        <f>+J442*G465+E465</f>
        <v>1918541.6194333332</v>
      </c>
      <c r="I465" s="796">
        <f>+J443*G465+E465</f>
        <v>1918541.6194333332</v>
      </c>
      <c r="J465" s="793">
        <f t="shared" si="42"/>
        <v>0</v>
      </c>
      <c r="K465" s="793"/>
      <c r="L465" s="813"/>
      <c r="M465" s="793">
        <f t="shared" si="36"/>
        <v>0</v>
      </c>
      <c r="N465" s="813"/>
      <c r="O465" s="793">
        <f t="shared" si="37"/>
        <v>0</v>
      </c>
      <c r="P465" s="793">
        <f t="shared" si="38"/>
        <v>0</v>
      </c>
    </row>
    <row r="466" spans="3:16">
      <c r="C466" s="789">
        <f>IF(D441="","-",+C465+1)</f>
        <v>2034</v>
      </c>
      <c r="D466" s="737">
        <f t="shared" si="39"/>
        <v>12205137.483658522</v>
      </c>
      <c r="E466" s="790">
        <f t="shared" si="41"/>
        <v>530658.15146341466</v>
      </c>
      <c r="F466" s="790">
        <f t="shared" si="35"/>
        <v>11674479.332195107</v>
      </c>
      <c r="G466" s="737">
        <f t="shared" si="40"/>
        <v>11939808.407926815</v>
      </c>
      <c r="H466" s="795">
        <f>+J442*G466+E466</f>
        <v>1859482.74845589</v>
      </c>
      <c r="I466" s="796">
        <f>+J443*G466+E466</f>
        <v>1859482.74845589</v>
      </c>
      <c r="J466" s="793">
        <f t="shared" si="42"/>
        <v>0</v>
      </c>
      <c r="K466" s="793"/>
      <c r="L466" s="813"/>
      <c r="M466" s="793">
        <f t="shared" si="36"/>
        <v>0</v>
      </c>
      <c r="N466" s="813"/>
      <c r="O466" s="793">
        <f t="shared" si="37"/>
        <v>0</v>
      </c>
      <c r="P466" s="793">
        <f t="shared" si="38"/>
        <v>0</v>
      </c>
    </row>
    <row r="467" spans="3:16">
      <c r="C467" s="789">
        <f>IF(D441="","-",+C466+1)</f>
        <v>2035</v>
      </c>
      <c r="D467" s="737">
        <f t="shared" si="39"/>
        <v>11674479.332195107</v>
      </c>
      <c r="E467" s="790">
        <f t="shared" si="41"/>
        <v>530658.15146341466</v>
      </c>
      <c r="F467" s="790">
        <f t="shared" si="35"/>
        <v>11143821.180731691</v>
      </c>
      <c r="G467" s="737">
        <f t="shared" si="40"/>
        <v>11409150.256463399</v>
      </c>
      <c r="H467" s="795">
        <f>+J442*G467+E467</f>
        <v>1800423.8774784463</v>
      </c>
      <c r="I467" s="796">
        <f>+J443*G467+E467</f>
        <v>1800423.8774784463</v>
      </c>
      <c r="J467" s="793">
        <f t="shared" si="42"/>
        <v>0</v>
      </c>
      <c r="K467" s="793"/>
      <c r="L467" s="813"/>
      <c r="M467" s="793">
        <f t="shared" si="36"/>
        <v>0</v>
      </c>
      <c r="N467" s="813"/>
      <c r="O467" s="793">
        <f t="shared" si="37"/>
        <v>0</v>
      </c>
      <c r="P467" s="793">
        <f t="shared" si="38"/>
        <v>0</v>
      </c>
    </row>
    <row r="468" spans="3:16">
      <c r="C468" s="789">
        <f>IF(D441="","-",+C467+1)</f>
        <v>2036</v>
      </c>
      <c r="D468" s="737">
        <f t="shared" si="39"/>
        <v>11143821.180731691</v>
      </c>
      <c r="E468" s="790">
        <f t="shared" si="41"/>
        <v>530658.15146341466</v>
      </c>
      <c r="F468" s="790">
        <f t="shared" si="35"/>
        <v>10613163.029268276</v>
      </c>
      <c r="G468" s="737">
        <f t="shared" si="40"/>
        <v>10878492.104999984</v>
      </c>
      <c r="H468" s="795">
        <f>+J442*G468+E468</f>
        <v>1741365.0065010027</v>
      </c>
      <c r="I468" s="796">
        <f>+J443*G468+E468</f>
        <v>1741365.0065010027</v>
      </c>
      <c r="J468" s="793">
        <f t="shared" si="42"/>
        <v>0</v>
      </c>
      <c r="K468" s="793"/>
      <c r="L468" s="813"/>
      <c r="M468" s="793">
        <f t="shared" si="36"/>
        <v>0</v>
      </c>
      <c r="N468" s="813"/>
      <c r="O468" s="793">
        <f t="shared" si="37"/>
        <v>0</v>
      </c>
      <c r="P468" s="793">
        <f t="shared" si="38"/>
        <v>0</v>
      </c>
    </row>
    <row r="469" spans="3:16">
      <c r="C469" s="789">
        <f>IF(D441="","-",+C468+1)</f>
        <v>2037</v>
      </c>
      <c r="D469" s="737">
        <f t="shared" si="39"/>
        <v>10613163.029268276</v>
      </c>
      <c r="E469" s="790">
        <f t="shared" si="41"/>
        <v>530658.15146341466</v>
      </c>
      <c r="F469" s="790">
        <f t="shared" si="35"/>
        <v>10082504.87780486</v>
      </c>
      <c r="G469" s="737">
        <f t="shared" si="40"/>
        <v>10347833.953536568</v>
      </c>
      <c r="H469" s="795">
        <f>+J442*G469+E469</f>
        <v>1682306.1355235595</v>
      </c>
      <c r="I469" s="796">
        <f>+J443*G469+E469</f>
        <v>1682306.1355235595</v>
      </c>
      <c r="J469" s="793">
        <f t="shared" si="42"/>
        <v>0</v>
      </c>
      <c r="K469" s="793"/>
      <c r="L469" s="813"/>
      <c r="M469" s="793">
        <f t="shared" si="36"/>
        <v>0</v>
      </c>
      <c r="N469" s="813"/>
      <c r="O469" s="793">
        <f t="shared" si="37"/>
        <v>0</v>
      </c>
      <c r="P469" s="793">
        <f t="shared" si="38"/>
        <v>0</v>
      </c>
    </row>
    <row r="470" spans="3:16">
      <c r="C470" s="789">
        <f>IF(D441="","-",+C469+1)</f>
        <v>2038</v>
      </c>
      <c r="D470" s="737">
        <f t="shared" si="39"/>
        <v>10082504.87780486</v>
      </c>
      <c r="E470" s="790">
        <f t="shared" si="41"/>
        <v>530658.15146341466</v>
      </c>
      <c r="F470" s="790">
        <f t="shared" si="35"/>
        <v>9551846.726341445</v>
      </c>
      <c r="G470" s="737">
        <f t="shared" si="40"/>
        <v>9817175.8020731527</v>
      </c>
      <c r="H470" s="795">
        <f>+J442*G470+E470</f>
        <v>1623247.2645461159</v>
      </c>
      <c r="I470" s="796">
        <f>+J443*G470+E470</f>
        <v>1623247.2645461159</v>
      </c>
      <c r="J470" s="793">
        <f t="shared" si="42"/>
        <v>0</v>
      </c>
      <c r="K470" s="793"/>
      <c r="L470" s="813"/>
      <c r="M470" s="793">
        <f t="shared" si="36"/>
        <v>0</v>
      </c>
      <c r="N470" s="813"/>
      <c r="O470" s="793">
        <f t="shared" si="37"/>
        <v>0</v>
      </c>
      <c r="P470" s="793">
        <f t="shared" si="38"/>
        <v>0</v>
      </c>
    </row>
    <row r="471" spans="3:16">
      <c r="C471" s="789">
        <f>IF(D441="","-",+C470+1)</f>
        <v>2039</v>
      </c>
      <c r="D471" s="737">
        <f t="shared" si="39"/>
        <v>9551846.726341445</v>
      </c>
      <c r="E471" s="790">
        <f t="shared" si="41"/>
        <v>530658.15146341466</v>
      </c>
      <c r="F471" s="790">
        <f t="shared" si="35"/>
        <v>9021188.5748780295</v>
      </c>
      <c r="G471" s="737">
        <f t="shared" si="40"/>
        <v>9286517.6506097373</v>
      </c>
      <c r="H471" s="795">
        <f>+J442*G471+E471</f>
        <v>1564188.3935686722</v>
      </c>
      <c r="I471" s="796">
        <f>+J443*G471+E471</f>
        <v>1564188.3935686722</v>
      </c>
      <c r="J471" s="793">
        <f t="shared" si="42"/>
        <v>0</v>
      </c>
      <c r="K471" s="793"/>
      <c r="L471" s="813"/>
      <c r="M471" s="793">
        <f t="shared" si="36"/>
        <v>0</v>
      </c>
      <c r="N471" s="813"/>
      <c r="O471" s="793">
        <f t="shared" si="37"/>
        <v>0</v>
      </c>
      <c r="P471" s="793">
        <f t="shared" si="38"/>
        <v>0</v>
      </c>
    </row>
    <row r="472" spans="3:16">
      <c r="C472" s="789">
        <f>IF(D441="","-",+C471+1)</f>
        <v>2040</v>
      </c>
      <c r="D472" s="737">
        <f t="shared" si="39"/>
        <v>9021188.5748780295</v>
      </c>
      <c r="E472" s="790">
        <f t="shared" si="41"/>
        <v>530658.15146341466</v>
      </c>
      <c r="F472" s="790">
        <f t="shared" si="35"/>
        <v>8490530.4234146141</v>
      </c>
      <c r="G472" s="737">
        <f t="shared" si="40"/>
        <v>8755859.4991463218</v>
      </c>
      <c r="H472" s="795">
        <f>+J442*G472+E472</f>
        <v>1505129.5225912288</v>
      </c>
      <c r="I472" s="796">
        <f>+J443*G472+E472</f>
        <v>1505129.5225912288</v>
      </c>
      <c r="J472" s="793">
        <f t="shared" si="42"/>
        <v>0</v>
      </c>
      <c r="K472" s="793"/>
      <c r="L472" s="813"/>
      <c r="M472" s="793">
        <f t="shared" si="36"/>
        <v>0</v>
      </c>
      <c r="N472" s="813"/>
      <c r="O472" s="793">
        <f t="shared" si="37"/>
        <v>0</v>
      </c>
      <c r="P472" s="793">
        <f t="shared" si="38"/>
        <v>0</v>
      </c>
    </row>
    <row r="473" spans="3:16">
      <c r="C473" s="789">
        <f>IF(D441="","-",+C472+1)</f>
        <v>2041</v>
      </c>
      <c r="D473" s="737">
        <f t="shared" si="39"/>
        <v>8490530.4234146141</v>
      </c>
      <c r="E473" s="790">
        <f t="shared" si="41"/>
        <v>530658.15146341466</v>
      </c>
      <c r="F473" s="790">
        <f t="shared" si="35"/>
        <v>7959872.2719511995</v>
      </c>
      <c r="G473" s="737">
        <f t="shared" si="40"/>
        <v>8225201.3476829063</v>
      </c>
      <c r="H473" s="795">
        <f>+J442*G473+E473</f>
        <v>1446070.6516137854</v>
      </c>
      <c r="I473" s="796">
        <f>+J443*G473+E473</f>
        <v>1446070.6516137854</v>
      </c>
      <c r="J473" s="793">
        <f t="shared" si="42"/>
        <v>0</v>
      </c>
      <c r="K473" s="793"/>
      <c r="L473" s="813"/>
      <c r="M473" s="793">
        <f t="shared" si="36"/>
        <v>0</v>
      </c>
      <c r="N473" s="813"/>
      <c r="O473" s="793">
        <f t="shared" si="37"/>
        <v>0</v>
      </c>
      <c r="P473" s="793">
        <f t="shared" si="38"/>
        <v>0</v>
      </c>
    </row>
    <row r="474" spans="3:16">
      <c r="C474" s="789">
        <f>IF(D441="","-",+C473+1)</f>
        <v>2042</v>
      </c>
      <c r="D474" s="737">
        <f t="shared" si="39"/>
        <v>7959872.2719511995</v>
      </c>
      <c r="E474" s="790">
        <f t="shared" si="41"/>
        <v>530658.15146341466</v>
      </c>
      <c r="F474" s="790">
        <f t="shared" si="35"/>
        <v>7429214.120487785</v>
      </c>
      <c r="G474" s="737">
        <f t="shared" si="40"/>
        <v>7694543.1962194927</v>
      </c>
      <c r="H474" s="795">
        <f>+J442*G474+E474</f>
        <v>1387011.780636342</v>
      </c>
      <c r="I474" s="796">
        <f>+J443*G474+E474</f>
        <v>1387011.780636342</v>
      </c>
      <c r="J474" s="793">
        <f t="shared" si="42"/>
        <v>0</v>
      </c>
      <c r="K474" s="793"/>
      <c r="L474" s="813"/>
      <c r="M474" s="793">
        <f t="shared" si="36"/>
        <v>0</v>
      </c>
      <c r="N474" s="813"/>
      <c r="O474" s="793">
        <f t="shared" si="37"/>
        <v>0</v>
      </c>
      <c r="P474" s="793">
        <f t="shared" si="38"/>
        <v>0</v>
      </c>
    </row>
    <row r="475" spans="3:16">
      <c r="C475" s="789">
        <f>IF(D441="","-",+C474+1)</f>
        <v>2043</v>
      </c>
      <c r="D475" s="737">
        <f t="shared" si="39"/>
        <v>7429214.120487785</v>
      </c>
      <c r="E475" s="790">
        <f t="shared" si="41"/>
        <v>530658.15146341466</v>
      </c>
      <c r="F475" s="790">
        <f t="shared" si="35"/>
        <v>6898555.9690243704</v>
      </c>
      <c r="G475" s="737">
        <f t="shared" si="40"/>
        <v>7163885.0447560772</v>
      </c>
      <c r="H475" s="795">
        <f>+J442*G475+E475</f>
        <v>1327952.9096588986</v>
      </c>
      <c r="I475" s="796">
        <f>+J443*G475+E475</f>
        <v>1327952.9096588986</v>
      </c>
      <c r="J475" s="793">
        <f t="shared" si="42"/>
        <v>0</v>
      </c>
      <c r="K475" s="793"/>
      <c r="L475" s="813"/>
      <c r="M475" s="793">
        <f t="shared" si="36"/>
        <v>0</v>
      </c>
      <c r="N475" s="813"/>
      <c r="O475" s="793">
        <f t="shared" si="37"/>
        <v>0</v>
      </c>
      <c r="P475" s="793">
        <f t="shared" si="38"/>
        <v>0</v>
      </c>
    </row>
    <row r="476" spans="3:16">
      <c r="C476" s="789">
        <f>IF(D441="","-",+C475+1)</f>
        <v>2044</v>
      </c>
      <c r="D476" s="737">
        <f t="shared" si="39"/>
        <v>6898555.9690243704</v>
      </c>
      <c r="E476" s="790">
        <f t="shared" si="41"/>
        <v>530658.15146341466</v>
      </c>
      <c r="F476" s="790">
        <f t="shared" si="35"/>
        <v>6367897.8175609559</v>
      </c>
      <c r="G476" s="737">
        <f t="shared" si="40"/>
        <v>6633226.8932926636</v>
      </c>
      <c r="H476" s="795">
        <f>+J442*G476+E476</f>
        <v>1268894.0386814552</v>
      </c>
      <c r="I476" s="796">
        <f>+J443*G476+E476</f>
        <v>1268894.0386814552</v>
      </c>
      <c r="J476" s="793">
        <f t="shared" si="42"/>
        <v>0</v>
      </c>
      <c r="K476" s="793"/>
      <c r="L476" s="813"/>
      <c r="M476" s="793">
        <f t="shared" si="36"/>
        <v>0</v>
      </c>
      <c r="N476" s="813"/>
      <c r="O476" s="793">
        <f t="shared" si="37"/>
        <v>0</v>
      </c>
      <c r="P476" s="793">
        <f t="shared" si="38"/>
        <v>0</v>
      </c>
    </row>
    <row r="477" spans="3:16">
      <c r="C477" s="789">
        <f>IF(D441="","-",+C476+1)</f>
        <v>2045</v>
      </c>
      <c r="D477" s="737">
        <f t="shared" si="39"/>
        <v>6367897.8175609559</v>
      </c>
      <c r="E477" s="790">
        <f t="shared" si="41"/>
        <v>530658.15146341466</v>
      </c>
      <c r="F477" s="790">
        <f t="shared" si="35"/>
        <v>5837239.6660975413</v>
      </c>
      <c r="G477" s="737">
        <f t="shared" si="40"/>
        <v>6102568.7418292481</v>
      </c>
      <c r="H477" s="795">
        <f>+J442*G477+E477</f>
        <v>1209835.1677040118</v>
      </c>
      <c r="I477" s="796">
        <f>+J443*G477+E477</f>
        <v>1209835.1677040118</v>
      </c>
      <c r="J477" s="793">
        <f t="shared" si="42"/>
        <v>0</v>
      </c>
      <c r="K477" s="793"/>
      <c r="L477" s="813"/>
      <c r="M477" s="793">
        <f t="shared" si="36"/>
        <v>0</v>
      </c>
      <c r="N477" s="813"/>
      <c r="O477" s="793">
        <f t="shared" si="37"/>
        <v>0</v>
      </c>
      <c r="P477" s="793">
        <f t="shared" si="38"/>
        <v>0</v>
      </c>
    </row>
    <row r="478" spans="3:16">
      <c r="C478" s="789">
        <f>IF(D441="","-",+C477+1)</f>
        <v>2046</v>
      </c>
      <c r="D478" s="737">
        <f t="shared" si="39"/>
        <v>5837239.6660975413</v>
      </c>
      <c r="E478" s="790">
        <f t="shared" si="41"/>
        <v>530658.15146341466</v>
      </c>
      <c r="F478" s="790">
        <f t="shared" si="35"/>
        <v>5306581.5146341268</v>
      </c>
      <c r="G478" s="737">
        <f t="shared" si="40"/>
        <v>5571910.5903658345</v>
      </c>
      <c r="H478" s="795">
        <f>+J442*G478+E478</f>
        <v>1150776.2967265684</v>
      </c>
      <c r="I478" s="796">
        <f>+J443*G478+E478</f>
        <v>1150776.2967265684</v>
      </c>
      <c r="J478" s="793">
        <f t="shared" si="42"/>
        <v>0</v>
      </c>
      <c r="K478" s="793"/>
      <c r="L478" s="813"/>
      <c r="M478" s="793">
        <f t="shared" si="36"/>
        <v>0</v>
      </c>
      <c r="N478" s="813"/>
      <c r="O478" s="793">
        <f t="shared" si="37"/>
        <v>0</v>
      </c>
      <c r="P478" s="793">
        <f t="shared" si="38"/>
        <v>0</v>
      </c>
    </row>
    <row r="479" spans="3:16">
      <c r="C479" s="789">
        <f>IF(D441="","-",+C478+1)</f>
        <v>2047</v>
      </c>
      <c r="D479" s="737">
        <f t="shared" si="39"/>
        <v>5306581.5146341268</v>
      </c>
      <c r="E479" s="790">
        <f t="shared" si="41"/>
        <v>530658.15146341466</v>
      </c>
      <c r="F479" s="790">
        <f t="shared" si="35"/>
        <v>4775923.3631707123</v>
      </c>
      <c r="G479" s="737">
        <f t="shared" si="40"/>
        <v>5041252.4389024191</v>
      </c>
      <c r="H479" s="795">
        <f>+J442*G479+E479</f>
        <v>1091717.425749125</v>
      </c>
      <c r="I479" s="796">
        <f>+J443*G479+E479</f>
        <v>1091717.425749125</v>
      </c>
      <c r="J479" s="793">
        <f t="shared" si="42"/>
        <v>0</v>
      </c>
      <c r="K479" s="793"/>
      <c r="L479" s="813"/>
      <c r="M479" s="793">
        <f t="shared" si="36"/>
        <v>0</v>
      </c>
      <c r="N479" s="813"/>
      <c r="O479" s="793">
        <f t="shared" si="37"/>
        <v>0</v>
      </c>
      <c r="P479" s="793">
        <f t="shared" si="38"/>
        <v>0</v>
      </c>
    </row>
    <row r="480" spans="3:16">
      <c r="C480" s="789">
        <f>IF(D441="","-",+C479+1)</f>
        <v>2048</v>
      </c>
      <c r="D480" s="737">
        <f t="shared" si="39"/>
        <v>4775923.3631707123</v>
      </c>
      <c r="E480" s="790">
        <f t="shared" si="41"/>
        <v>530658.15146341466</v>
      </c>
      <c r="F480" s="790">
        <f t="shared" si="35"/>
        <v>4245265.2117072977</v>
      </c>
      <c r="G480" s="737">
        <f t="shared" si="40"/>
        <v>4510594.2874390054</v>
      </c>
      <c r="H480" s="795">
        <f>+J442*G480+E480</f>
        <v>1032658.5547716815</v>
      </c>
      <c r="I480" s="796">
        <f>+J443*G480+E480</f>
        <v>1032658.5547716815</v>
      </c>
      <c r="J480" s="793">
        <f t="shared" si="42"/>
        <v>0</v>
      </c>
      <c r="K480" s="793"/>
      <c r="L480" s="813"/>
      <c r="M480" s="793">
        <f t="shared" si="36"/>
        <v>0</v>
      </c>
      <c r="N480" s="813"/>
      <c r="O480" s="793">
        <f t="shared" si="37"/>
        <v>0</v>
      </c>
      <c r="P480" s="793">
        <f t="shared" si="38"/>
        <v>0</v>
      </c>
    </row>
    <row r="481" spans="3:16">
      <c r="C481" s="789">
        <f>IF(D441="","-",+C480+1)</f>
        <v>2049</v>
      </c>
      <c r="D481" s="737">
        <f t="shared" si="39"/>
        <v>4245265.2117072977</v>
      </c>
      <c r="E481" s="790">
        <f t="shared" si="41"/>
        <v>530658.15146341466</v>
      </c>
      <c r="F481" s="790">
        <f t="shared" si="35"/>
        <v>3714607.0602438832</v>
      </c>
      <c r="G481" s="737">
        <f t="shared" si="40"/>
        <v>3979936.1359755904</v>
      </c>
      <c r="H481" s="795">
        <f>+J442*G481+E481</f>
        <v>973599.68379423814</v>
      </c>
      <c r="I481" s="796">
        <f>+J443*G481+E481</f>
        <v>973599.68379423814</v>
      </c>
      <c r="J481" s="793">
        <f t="shared" si="42"/>
        <v>0</v>
      </c>
      <c r="K481" s="793"/>
      <c r="L481" s="813"/>
      <c r="M481" s="793">
        <f t="shared" si="36"/>
        <v>0</v>
      </c>
      <c r="N481" s="813"/>
      <c r="O481" s="793">
        <f t="shared" si="37"/>
        <v>0</v>
      </c>
      <c r="P481" s="793">
        <f t="shared" si="38"/>
        <v>0</v>
      </c>
    </row>
    <row r="482" spans="3:16">
      <c r="C482" s="789">
        <f>IF(D441="","-",+C481+1)</f>
        <v>2050</v>
      </c>
      <c r="D482" s="737">
        <f t="shared" si="39"/>
        <v>3714607.0602438832</v>
      </c>
      <c r="E482" s="790">
        <f t="shared" si="41"/>
        <v>530658.15146341466</v>
      </c>
      <c r="F482" s="790">
        <f t="shared" si="35"/>
        <v>3183948.9087804686</v>
      </c>
      <c r="G482" s="737">
        <f t="shared" si="40"/>
        <v>3449277.9845121759</v>
      </c>
      <c r="H482" s="795">
        <f>+J442*G482+E482</f>
        <v>914540.81281679473</v>
      </c>
      <c r="I482" s="796">
        <f>+J443*G482+E482</f>
        <v>914540.81281679473</v>
      </c>
      <c r="J482" s="793">
        <f t="shared" si="42"/>
        <v>0</v>
      </c>
      <c r="K482" s="793"/>
      <c r="L482" s="813"/>
      <c r="M482" s="793">
        <f t="shared" si="36"/>
        <v>0</v>
      </c>
      <c r="N482" s="813"/>
      <c r="O482" s="793">
        <f t="shared" si="37"/>
        <v>0</v>
      </c>
      <c r="P482" s="793">
        <f t="shared" si="38"/>
        <v>0</v>
      </c>
    </row>
    <row r="483" spans="3:16">
      <c r="C483" s="789">
        <f>IF(D441="","-",+C482+1)</f>
        <v>2051</v>
      </c>
      <c r="D483" s="737">
        <f t="shared" si="39"/>
        <v>3183948.9087804686</v>
      </c>
      <c r="E483" s="790">
        <f t="shared" si="41"/>
        <v>530658.15146341466</v>
      </c>
      <c r="F483" s="790">
        <f t="shared" si="35"/>
        <v>2653290.7573170541</v>
      </c>
      <c r="G483" s="737">
        <f t="shared" si="40"/>
        <v>2918619.8330487614</v>
      </c>
      <c r="H483" s="795">
        <f>+J442*G483+E483</f>
        <v>855481.94183935132</v>
      </c>
      <c r="I483" s="796">
        <f>+J443*G483+E483</f>
        <v>855481.94183935132</v>
      </c>
      <c r="J483" s="793">
        <f t="shared" si="42"/>
        <v>0</v>
      </c>
      <c r="K483" s="793"/>
      <c r="L483" s="813"/>
      <c r="M483" s="793">
        <f t="shared" si="36"/>
        <v>0</v>
      </c>
      <c r="N483" s="813"/>
      <c r="O483" s="793">
        <f t="shared" si="37"/>
        <v>0</v>
      </c>
      <c r="P483" s="793">
        <f t="shared" si="38"/>
        <v>0</v>
      </c>
    </row>
    <row r="484" spans="3:16">
      <c r="C484" s="789">
        <f>IF(D441="","-",+C483+1)</f>
        <v>2052</v>
      </c>
      <c r="D484" s="737">
        <f t="shared" si="39"/>
        <v>2653290.7573170541</v>
      </c>
      <c r="E484" s="790">
        <f t="shared" si="41"/>
        <v>530658.15146341466</v>
      </c>
      <c r="F484" s="790">
        <f t="shared" si="35"/>
        <v>2122632.6058536395</v>
      </c>
      <c r="G484" s="737">
        <f t="shared" si="40"/>
        <v>2387961.6815853468</v>
      </c>
      <c r="H484" s="795">
        <f>+J442*G484+E484</f>
        <v>796423.07086190791</v>
      </c>
      <c r="I484" s="796">
        <f>+J443*G484+E484</f>
        <v>796423.07086190791</v>
      </c>
      <c r="J484" s="793">
        <f t="shared" si="42"/>
        <v>0</v>
      </c>
      <c r="K484" s="793"/>
      <c r="L484" s="813"/>
      <c r="M484" s="793">
        <f t="shared" si="36"/>
        <v>0</v>
      </c>
      <c r="N484" s="813"/>
      <c r="O484" s="793">
        <f t="shared" si="37"/>
        <v>0</v>
      </c>
      <c r="P484" s="793">
        <f t="shared" si="38"/>
        <v>0</v>
      </c>
    </row>
    <row r="485" spans="3:16">
      <c r="C485" s="789">
        <f>IF(D441="","-",+C484+1)</f>
        <v>2053</v>
      </c>
      <c r="D485" s="737">
        <f t="shared" si="39"/>
        <v>2122632.6058536395</v>
      </c>
      <c r="E485" s="790">
        <f t="shared" si="41"/>
        <v>530658.15146341466</v>
      </c>
      <c r="F485" s="790">
        <f t="shared" si="35"/>
        <v>1591974.454390225</v>
      </c>
      <c r="G485" s="737">
        <f t="shared" si="40"/>
        <v>1857303.5301219323</v>
      </c>
      <c r="H485" s="795">
        <f>+J442*G485+E485</f>
        <v>737364.1998844645</v>
      </c>
      <c r="I485" s="796">
        <f>+J443*G485+E485</f>
        <v>737364.1998844645</v>
      </c>
      <c r="J485" s="793">
        <f t="shared" si="42"/>
        <v>0</v>
      </c>
      <c r="K485" s="793"/>
      <c r="L485" s="813"/>
      <c r="M485" s="793">
        <f t="shared" si="36"/>
        <v>0</v>
      </c>
      <c r="N485" s="813"/>
      <c r="O485" s="793">
        <f t="shared" si="37"/>
        <v>0</v>
      </c>
      <c r="P485" s="793">
        <f t="shared" si="38"/>
        <v>0</v>
      </c>
    </row>
    <row r="486" spans="3:16">
      <c r="C486" s="789">
        <f>IF(D441="","-",+C485+1)</f>
        <v>2054</v>
      </c>
      <c r="D486" s="737">
        <f t="shared" si="39"/>
        <v>1591974.454390225</v>
      </c>
      <c r="E486" s="790">
        <f t="shared" si="41"/>
        <v>530658.15146341466</v>
      </c>
      <c r="F486" s="790">
        <f t="shared" si="35"/>
        <v>1061316.3029268105</v>
      </c>
      <c r="G486" s="737">
        <f t="shared" si="40"/>
        <v>1326645.3786585177</v>
      </c>
      <c r="H486" s="795">
        <f>+J442*G486+E486</f>
        <v>678305.32890702109</v>
      </c>
      <c r="I486" s="796">
        <f>+J443*G486+E486</f>
        <v>678305.32890702109</v>
      </c>
      <c r="J486" s="793">
        <f t="shared" si="42"/>
        <v>0</v>
      </c>
      <c r="K486" s="793"/>
      <c r="L486" s="813"/>
      <c r="M486" s="793">
        <f t="shared" si="36"/>
        <v>0</v>
      </c>
      <c r="N486" s="813"/>
      <c r="O486" s="793">
        <f t="shared" si="37"/>
        <v>0</v>
      </c>
      <c r="P486" s="793">
        <f t="shared" si="38"/>
        <v>0</v>
      </c>
    </row>
    <row r="487" spans="3:16">
      <c r="C487" s="789">
        <f>IF(D441="","-",+C486+1)</f>
        <v>2055</v>
      </c>
      <c r="D487" s="737">
        <f t="shared" si="39"/>
        <v>1061316.3029268105</v>
      </c>
      <c r="E487" s="790">
        <f t="shared" si="41"/>
        <v>530658.15146341466</v>
      </c>
      <c r="F487" s="790">
        <f t="shared" si="35"/>
        <v>530658.1514633958</v>
      </c>
      <c r="G487" s="737">
        <f t="shared" si="40"/>
        <v>795987.22719510319</v>
      </c>
      <c r="H487" s="795">
        <f>+J442*G487+E487</f>
        <v>619246.45792957768</v>
      </c>
      <c r="I487" s="796">
        <f>+J443*G487+E487</f>
        <v>619246.45792957768</v>
      </c>
      <c r="J487" s="793">
        <f t="shared" si="42"/>
        <v>0</v>
      </c>
      <c r="K487" s="793"/>
      <c r="L487" s="813"/>
      <c r="M487" s="793">
        <f t="shared" si="36"/>
        <v>0</v>
      </c>
      <c r="N487" s="813"/>
      <c r="O487" s="793">
        <f t="shared" si="37"/>
        <v>0</v>
      </c>
      <c r="P487" s="793">
        <f t="shared" si="38"/>
        <v>0</v>
      </c>
    </row>
    <row r="488" spans="3:16">
      <c r="C488" s="789">
        <f>IF(D441="","-",+C487+1)</f>
        <v>2056</v>
      </c>
      <c r="D488" s="737">
        <f t="shared" si="39"/>
        <v>530658.1514633958</v>
      </c>
      <c r="E488" s="790">
        <f t="shared" si="41"/>
        <v>530658.1514633958</v>
      </c>
      <c r="F488" s="790">
        <f t="shared" si="35"/>
        <v>0</v>
      </c>
      <c r="G488" s="737">
        <f t="shared" si="40"/>
        <v>265329.0757316979</v>
      </c>
      <c r="H488" s="795">
        <f>+J442*G488+E488</f>
        <v>560187.58695211646</v>
      </c>
      <c r="I488" s="796">
        <f>+J443*G488+E488</f>
        <v>560187.58695211646</v>
      </c>
      <c r="J488" s="793">
        <f t="shared" si="42"/>
        <v>0</v>
      </c>
      <c r="K488" s="793"/>
      <c r="L488" s="813"/>
      <c r="M488" s="793">
        <f t="shared" si="36"/>
        <v>0</v>
      </c>
      <c r="N488" s="813"/>
      <c r="O488" s="793">
        <f t="shared" si="37"/>
        <v>0</v>
      </c>
      <c r="P488" s="793">
        <f t="shared" si="38"/>
        <v>0</v>
      </c>
    </row>
    <row r="489" spans="3:16">
      <c r="C489" s="789">
        <f>IF(D441="","-",+C488+1)</f>
        <v>2057</v>
      </c>
      <c r="D489" s="737">
        <f t="shared" si="39"/>
        <v>0</v>
      </c>
      <c r="E489" s="790">
        <f t="shared" si="41"/>
        <v>0</v>
      </c>
      <c r="F489" s="790">
        <f t="shared" si="35"/>
        <v>0</v>
      </c>
      <c r="G489" s="737">
        <f t="shared" si="40"/>
        <v>0</v>
      </c>
      <c r="H489" s="795">
        <f>+J442*G489+E489</f>
        <v>0</v>
      </c>
      <c r="I489" s="796">
        <f>+J443*G489+E489</f>
        <v>0</v>
      </c>
      <c r="J489" s="793">
        <f t="shared" si="42"/>
        <v>0</v>
      </c>
      <c r="K489" s="793"/>
      <c r="L489" s="813"/>
      <c r="M489" s="793">
        <f t="shared" si="36"/>
        <v>0</v>
      </c>
      <c r="N489" s="813"/>
      <c r="O489" s="793">
        <f t="shared" si="37"/>
        <v>0</v>
      </c>
      <c r="P489" s="793">
        <f t="shared" si="38"/>
        <v>0</v>
      </c>
    </row>
    <row r="490" spans="3:16">
      <c r="C490" s="789">
        <f>IF(D441="","-",+C489+1)</f>
        <v>2058</v>
      </c>
      <c r="D490" s="737">
        <f t="shared" si="39"/>
        <v>0</v>
      </c>
      <c r="E490" s="790">
        <f t="shared" si="41"/>
        <v>0</v>
      </c>
      <c r="F490" s="790">
        <f t="shared" si="35"/>
        <v>0</v>
      </c>
      <c r="G490" s="737">
        <f t="shared" si="40"/>
        <v>0</v>
      </c>
      <c r="H490" s="795">
        <f>+J442*G490+E490</f>
        <v>0</v>
      </c>
      <c r="I490" s="796">
        <f>+J443*G490+E490</f>
        <v>0</v>
      </c>
      <c r="J490" s="793">
        <f t="shared" si="42"/>
        <v>0</v>
      </c>
      <c r="K490" s="793"/>
      <c r="L490" s="813"/>
      <c r="M490" s="793">
        <f t="shared" si="36"/>
        <v>0</v>
      </c>
      <c r="N490" s="813"/>
      <c r="O490" s="793">
        <f t="shared" si="37"/>
        <v>0</v>
      </c>
      <c r="P490" s="793">
        <f t="shared" si="38"/>
        <v>0</v>
      </c>
    </row>
    <row r="491" spans="3:16">
      <c r="C491" s="789">
        <f>IF(D441="","-",+C490+1)</f>
        <v>2059</v>
      </c>
      <c r="D491" s="737">
        <f t="shared" si="39"/>
        <v>0</v>
      </c>
      <c r="E491" s="790">
        <f t="shared" si="41"/>
        <v>0</v>
      </c>
      <c r="F491" s="790">
        <f t="shared" si="35"/>
        <v>0</v>
      </c>
      <c r="G491" s="737">
        <f t="shared" si="40"/>
        <v>0</v>
      </c>
      <c r="H491" s="795">
        <f>+J442*G491+E491</f>
        <v>0</v>
      </c>
      <c r="I491" s="796">
        <f>+J443*G491+E491</f>
        <v>0</v>
      </c>
      <c r="J491" s="793">
        <f t="shared" si="42"/>
        <v>0</v>
      </c>
      <c r="K491" s="793"/>
      <c r="L491" s="813"/>
      <c r="M491" s="793">
        <f t="shared" si="36"/>
        <v>0</v>
      </c>
      <c r="N491" s="813"/>
      <c r="O491" s="793">
        <f t="shared" si="37"/>
        <v>0</v>
      </c>
      <c r="P491" s="793">
        <f t="shared" si="38"/>
        <v>0</v>
      </c>
    </row>
    <row r="492" spans="3:16">
      <c r="C492" s="789">
        <f>IF(D441="","-",+C491+1)</f>
        <v>2060</v>
      </c>
      <c r="D492" s="737">
        <f t="shared" si="39"/>
        <v>0</v>
      </c>
      <c r="E492" s="790">
        <f t="shared" si="41"/>
        <v>0</v>
      </c>
      <c r="F492" s="790">
        <f t="shared" si="35"/>
        <v>0</v>
      </c>
      <c r="G492" s="737">
        <f t="shared" si="40"/>
        <v>0</v>
      </c>
      <c r="H492" s="795">
        <f>+J442*G492+E492</f>
        <v>0</v>
      </c>
      <c r="I492" s="796">
        <f>+J443*G492+E492</f>
        <v>0</v>
      </c>
      <c r="J492" s="793">
        <f t="shared" si="42"/>
        <v>0</v>
      </c>
      <c r="K492" s="793"/>
      <c r="L492" s="813"/>
      <c r="M492" s="793">
        <f t="shared" si="36"/>
        <v>0</v>
      </c>
      <c r="N492" s="813"/>
      <c r="O492" s="793">
        <f t="shared" si="37"/>
        <v>0</v>
      </c>
      <c r="P492" s="793">
        <f t="shared" si="38"/>
        <v>0</v>
      </c>
    </row>
    <row r="493" spans="3:16">
      <c r="C493" s="789">
        <f>IF(D441="","-",+C492+1)</f>
        <v>2061</v>
      </c>
      <c r="D493" s="737">
        <f t="shared" si="39"/>
        <v>0</v>
      </c>
      <c r="E493" s="790">
        <f t="shared" si="41"/>
        <v>0</v>
      </c>
      <c r="F493" s="790">
        <f t="shared" si="35"/>
        <v>0</v>
      </c>
      <c r="G493" s="737">
        <f t="shared" si="40"/>
        <v>0</v>
      </c>
      <c r="H493" s="795">
        <f>+J442*G493+E493</f>
        <v>0</v>
      </c>
      <c r="I493" s="796">
        <f>+J443*G493+E493</f>
        <v>0</v>
      </c>
      <c r="J493" s="793">
        <f t="shared" si="42"/>
        <v>0</v>
      </c>
      <c r="K493" s="793"/>
      <c r="L493" s="813"/>
      <c r="M493" s="793">
        <f t="shared" si="36"/>
        <v>0</v>
      </c>
      <c r="N493" s="813"/>
      <c r="O493" s="793">
        <f t="shared" si="37"/>
        <v>0</v>
      </c>
      <c r="P493" s="793">
        <f t="shared" si="38"/>
        <v>0</v>
      </c>
    </row>
    <row r="494" spans="3:16">
      <c r="C494" s="789">
        <f>IF(D441="","-",+C493+1)</f>
        <v>2062</v>
      </c>
      <c r="D494" s="737">
        <f t="shared" si="39"/>
        <v>0</v>
      </c>
      <c r="E494" s="790">
        <f t="shared" si="41"/>
        <v>0</v>
      </c>
      <c r="F494" s="790">
        <f t="shared" si="35"/>
        <v>0</v>
      </c>
      <c r="G494" s="737">
        <f t="shared" si="40"/>
        <v>0</v>
      </c>
      <c r="H494" s="795">
        <f>+J442*G494+E494</f>
        <v>0</v>
      </c>
      <c r="I494" s="796">
        <f>+J443*G494+E494</f>
        <v>0</v>
      </c>
      <c r="J494" s="793">
        <f t="shared" si="42"/>
        <v>0</v>
      </c>
      <c r="K494" s="793"/>
      <c r="L494" s="813"/>
      <c r="M494" s="793">
        <f t="shared" si="36"/>
        <v>0</v>
      </c>
      <c r="N494" s="813"/>
      <c r="O494" s="793">
        <f t="shared" si="37"/>
        <v>0</v>
      </c>
      <c r="P494" s="793">
        <f t="shared" si="38"/>
        <v>0</v>
      </c>
    </row>
    <row r="495" spans="3:16">
      <c r="C495" s="789">
        <f>IF(D441="","-",+C494+1)</f>
        <v>2063</v>
      </c>
      <c r="D495" s="737">
        <f t="shared" si="39"/>
        <v>0</v>
      </c>
      <c r="E495" s="790">
        <f t="shared" si="41"/>
        <v>0</v>
      </c>
      <c r="F495" s="790">
        <f t="shared" si="35"/>
        <v>0</v>
      </c>
      <c r="G495" s="737">
        <f t="shared" si="40"/>
        <v>0</v>
      </c>
      <c r="H495" s="795">
        <f>+J442*G495+E495</f>
        <v>0</v>
      </c>
      <c r="I495" s="796">
        <f>+J443*G495+E495</f>
        <v>0</v>
      </c>
      <c r="J495" s="793">
        <f t="shared" si="42"/>
        <v>0</v>
      </c>
      <c r="K495" s="793"/>
      <c r="L495" s="813"/>
      <c r="M495" s="793">
        <f t="shared" si="36"/>
        <v>0</v>
      </c>
      <c r="N495" s="813"/>
      <c r="O495" s="793">
        <f t="shared" si="37"/>
        <v>0</v>
      </c>
      <c r="P495" s="793">
        <f t="shared" si="38"/>
        <v>0</v>
      </c>
    </row>
    <row r="496" spans="3:16">
      <c r="C496" s="789">
        <f>IF(D441="","-",+C495+1)</f>
        <v>2064</v>
      </c>
      <c r="D496" s="737">
        <f t="shared" si="39"/>
        <v>0</v>
      </c>
      <c r="E496" s="790">
        <f t="shared" si="41"/>
        <v>0</v>
      </c>
      <c r="F496" s="790">
        <f t="shared" si="35"/>
        <v>0</v>
      </c>
      <c r="G496" s="737">
        <f t="shared" si="40"/>
        <v>0</v>
      </c>
      <c r="H496" s="795">
        <f>+J442*G496+E496</f>
        <v>0</v>
      </c>
      <c r="I496" s="796">
        <f>+J443*G496+E496</f>
        <v>0</v>
      </c>
      <c r="J496" s="793">
        <f t="shared" si="42"/>
        <v>0</v>
      </c>
      <c r="K496" s="793"/>
      <c r="L496" s="813"/>
      <c r="M496" s="793">
        <f t="shared" si="36"/>
        <v>0</v>
      </c>
      <c r="N496" s="813"/>
      <c r="O496" s="793">
        <f t="shared" si="37"/>
        <v>0</v>
      </c>
      <c r="P496" s="793">
        <f t="shared" si="38"/>
        <v>0</v>
      </c>
    </row>
    <row r="497" spans="3:16">
      <c r="C497" s="789">
        <f>IF(D441="","-",+C496+1)</f>
        <v>2065</v>
      </c>
      <c r="D497" s="737">
        <f t="shared" si="39"/>
        <v>0</v>
      </c>
      <c r="E497" s="790">
        <f t="shared" si="41"/>
        <v>0</v>
      </c>
      <c r="F497" s="790">
        <f t="shared" si="35"/>
        <v>0</v>
      </c>
      <c r="G497" s="737">
        <f t="shared" si="40"/>
        <v>0</v>
      </c>
      <c r="H497" s="795">
        <f>+J442*G497+E497</f>
        <v>0</v>
      </c>
      <c r="I497" s="796">
        <f>+J443*G497+E497</f>
        <v>0</v>
      </c>
      <c r="J497" s="793">
        <f t="shared" si="42"/>
        <v>0</v>
      </c>
      <c r="K497" s="793"/>
      <c r="L497" s="813"/>
      <c r="M497" s="793">
        <f t="shared" si="36"/>
        <v>0</v>
      </c>
      <c r="N497" s="813"/>
      <c r="O497" s="793">
        <f t="shared" si="37"/>
        <v>0</v>
      </c>
      <c r="P497" s="793">
        <f t="shared" si="38"/>
        <v>0</v>
      </c>
    </row>
    <row r="498" spans="3:16">
      <c r="C498" s="789">
        <f>IF(D441="","-",+C497+1)</f>
        <v>2066</v>
      </c>
      <c r="D498" s="737">
        <f t="shared" si="39"/>
        <v>0</v>
      </c>
      <c r="E498" s="790">
        <f t="shared" si="41"/>
        <v>0</v>
      </c>
      <c r="F498" s="790">
        <f t="shared" si="35"/>
        <v>0</v>
      </c>
      <c r="G498" s="737">
        <f t="shared" si="40"/>
        <v>0</v>
      </c>
      <c r="H498" s="795">
        <f>+J442*G498+E498</f>
        <v>0</v>
      </c>
      <c r="I498" s="796">
        <f>+J443*G498+E498</f>
        <v>0</v>
      </c>
      <c r="J498" s="793">
        <f t="shared" si="42"/>
        <v>0</v>
      </c>
      <c r="K498" s="793"/>
      <c r="L498" s="813"/>
      <c r="M498" s="793">
        <f t="shared" si="36"/>
        <v>0</v>
      </c>
      <c r="N498" s="813"/>
      <c r="O498" s="793">
        <f t="shared" si="37"/>
        <v>0</v>
      </c>
      <c r="P498" s="793">
        <f t="shared" si="38"/>
        <v>0</v>
      </c>
    </row>
    <row r="499" spans="3:16">
      <c r="C499" s="789">
        <f>IF(D441="","-",+C498+1)</f>
        <v>2067</v>
      </c>
      <c r="D499" s="737">
        <f t="shared" si="39"/>
        <v>0</v>
      </c>
      <c r="E499" s="790">
        <f t="shared" si="41"/>
        <v>0</v>
      </c>
      <c r="F499" s="790">
        <f t="shared" si="35"/>
        <v>0</v>
      </c>
      <c r="G499" s="737">
        <f t="shared" si="40"/>
        <v>0</v>
      </c>
      <c r="H499" s="795">
        <f>+J442*G499+E499</f>
        <v>0</v>
      </c>
      <c r="I499" s="796">
        <f>+J443*G499+E499</f>
        <v>0</v>
      </c>
      <c r="J499" s="793">
        <f t="shared" si="42"/>
        <v>0</v>
      </c>
      <c r="K499" s="793"/>
      <c r="L499" s="813"/>
      <c r="M499" s="793">
        <f t="shared" si="36"/>
        <v>0</v>
      </c>
      <c r="N499" s="813"/>
      <c r="O499" s="793">
        <f t="shared" si="37"/>
        <v>0</v>
      </c>
      <c r="P499" s="793">
        <f t="shared" si="38"/>
        <v>0</v>
      </c>
    </row>
    <row r="500" spans="3:16">
      <c r="C500" s="789">
        <f>IF(D441="","-",+C499+1)</f>
        <v>2068</v>
      </c>
      <c r="D500" s="737">
        <f t="shared" si="39"/>
        <v>0</v>
      </c>
      <c r="E500" s="790">
        <f t="shared" si="41"/>
        <v>0</v>
      </c>
      <c r="F500" s="790">
        <f t="shared" si="35"/>
        <v>0</v>
      </c>
      <c r="G500" s="737">
        <f t="shared" si="40"/>
        <v>0</v>
      </c>
      <c r="H500" s="795">
        <f>+J442*G500+E500</f>
        <v>0</v>
      </c>
      <c r="I500" s="796">
        <f>+J443*G500+E500</f>
        <v>0</v>
      </c>
      <c r="J500" s="793">
        <f t="shared" si="42"/>
        <v>0</v>
      </c>
      <c r="K500" s="793"/>
      <c r="L500" s="813"/>
      <c r="M500" s="793">
        <f t="shared" si="36"/>
        <v>0</v>
      </c>
      <c r="N500" s="813"/>
      <c r="O500" s="793">
        <f t="shared" si="37"/>
        <v>0</v>
      </c>
      <c r="P500" s="793">
        <f t="shared" si="38"/>
        <v>0</v>
      </c>
    </row>
    <row r="501" spans="3:16">
      <c r="C501" s="789">
        <f>IF(D441="","-",+C500+1)</f>
        <v>2069</v>
      </c>
      <c r="D501" s="737">
        <f t="shared" ref="D501:D506" si="43">F500</f>
        <v>0</v>
      </c>
      <c r="E501" s="790">
        <f t="shared" si="41"/>
        <v>0</v>
      </c>
      <c r="F501" s="790">
        <f t="shared" si="35"/>
        <v>0</v>
      </c>
      <c r="G501" s="737">
        <f t="shared" si="40"/>
        <v>0</v>
      </c>
      <c r="H501" s="795">
        <f>+J442*G501+E501</f>
        <v>0</v>
      </c>
      <c r="I501" s="796">
        <f>+J443*G501+E501</f>
        <v>0</v>
      </c>
      <c r="J501" s="793">
        <f t="shared" si="42"/>
        <v>0</v>
      </c>
      <c r="K501" s="793"/>
      <c r="L501" s="813"/>
      <c r="M501" s="793">
        <f t="shared" si="36"/>
        <v>0</v>
      </c>
      <c r="N501" s="813"/>
      <c r="O501" s="793">
        <f t="shared" si="37"/>
        <v>0</v>
      </c>
      <c r="P501" s="793">
        <f t="shared" si="38"/>
        <v>0</v>
      </c>
    </row>
    <row r="502" spans="3:16">
      <c r="C502" s="789">
        <f>IF(D441="","-",+C501+1)</f>
        <v>2070</v>
      </c>
      <c r="D502" s="737">
        <f t="shared" si="43"/>
        <v>0</v>
      </c>
      <c r="E502" s="790">
        <f t="shared" si="41"/>
        <v>0</v>
      </c>
      <c r="F502" s="790">
        <f t="shared" si="35"/>
        <v>0</v>
      </c>
      <c r="G502" s="737">
        <f t="shared" si="40"/>
        <v>0</v>
      </c>
      <c r="H502" s="795">
        <f>+J442*G502+E502</f>
        <v>0</v>
      </c>
      <c r="I502" s="796">
        <f>+J443*G502+E502</f>
        <v>0</v>
      </c>
      <c r="J502" s="793">
        <f t="shared" si="42"/>
        <v>0</v>
      </c>
      <c r="K502" s="793"/>
      <c r="L502" s="813"/>
      <c r="M502" s="793">
        <f t="shared" si="36"/>
        <v>0</v>
      </c>
      <c r="N502" s="813"/>
      <c r="O502" s="793">
        <f t="shared" si="37"/>
        <v>0</v>
      </c>
      <c r="P502" s="793">
        <f t="shared" si="38"/>
        <v>0</v>
      </c>
    </row>
    <row r="503" spans="3:16">
      <c r="C503" s="789">
        <f>IF(D441="","-",+C502+1)</f>
        <v>2071</v>
      </c>
      <c r="D503" s="737">
        <f t="shared" si="43"/>
        <v>0</v>
      </c>
      <c r="E503" s="790">
        <f t="shared" si="41"/>
        <v>0</v>
      </c>
      <c r="F503" s="790">
        <f t="shared" si="35"/>
        <v>0</v>
      </c>
      <c r="G503" s="737">
        <f t="shared" si="40"/>
        <v>0</v>
      </c>
      <c r="H503" s="795">
        <f>+J442*G503+E503</f>
        <v>0</v>
      </c>
      <c r="I503" s="796">
        <f>+J443*G503+E503</f>
        <v>0</v>
      </c>
      <c r="J503" s="793">
        <f t="shared" si="42"/>
        <v>0</v>
      </c>
      <c r="K503" s="793"/>
      <c r="L503" s="813"/>
      <c r="M503" s="793">
        <f t="shared" si="36"/>
        <v>0</v>
      </c>
      <c r="N503" s="813"/>
      <c r="O503" s="793">
        <f t="shared" si="37"/>
        <v>0</v>
      </c>
      <c r="P503" s="793">
        <f t="shared" si="38"/>
        <v>0</v>
      </c>
    </row>
    <row r="504" spans="3:16">
      <c r="C504" s="789">
        <f>IF(D441="","-",+C503+1)</f>
        <v>2072</v>
      </c>
      <c r="D504" s="737">
        <f t="shared" si="43"/>
        <v>0</v>
      </c>
      <c r="E504" s="790">
        <f t="shared" si="41"/>
        <v>0</v>
      </c>
      <c r="F504" s="790">
        <f t="shared" si="35"/>
        <v>0</v>
      </c>
      <c r="G504" s="737">
        <f t="shared" si="40"/>
        <v>0</v>
      </c>
      <c r="H504" s="795">
        <f>+J442*G504+E504</f>
        <v>0</v>
      </c>
      <c r="I504" s="796">
        <f>+J443*G504+E504</f>
        <v>0</v>
      </c>
      <c r="J504" s="793">
        <f t="shared" si="42"/>
        <v>0</v>
      </c>
      <c r="K504" s="793"/>
      <c r="L504" s="813"/>
      <c r="M504" s="793">
        <f t="shared" si="36"/>
        <v>0</v>
      </c>
      <c r="N504" s="813"/>
      <c r="O504" s="793">
        <f t="shared" si="37"/>
        <v>0</v>
      </c>
      <c r="P504" s="793">
        <f t="shared" si="38"/>
        <v>0</v>
      </c>
    </row>
    <row r="505" spans="3:16">
      <c r="C505" s="789">
        <f>IF(D441="","-",+C504+1)</f>
        <v>2073</v>
      </c>
      <c r="D505" s="737">
        <f t="shared" si="43"/>
        <v>0</v>
      </c>
      <c r="E505" s="790">
        <f t="shared" si="41"/>
        <v>0</v>
      </c>
      <c r="F505" s="790">
        <f t="shared" si="35"/>
        <v>0</v>
      </c>
      <c r="G505" s="737">
        <f t="shared" si="40"/>
        <v>0</v>
      </c>
      <c r="H505" s="795">
        <f>+J442*G505+E505</f>
        <v>0</v>
      </c>
      <c r="I505" s="796">
        <f>+J443*G505+E505</f>
        <v>0</v>
      </c>
      <c r="J505" s="793">
        <f t="shared" si="42"/>
        <v>0</v>
      </c>
      <c r="K505" s="793"/>
      <c r="L505" s="813"/>
      <c r="M505" s="793">
        <f t="shared" si="36"/>
        <v>0</v>
      </c>
      <c r="N505" s="813"/>
      <c r="O505" s="793">
        <f t="shared" si="37"/>
        <v>0</v>
      </c>
      <c r="P505" s="793">
        <f t="shared" si="38"/>
        <v>0</v>
      </c>
    </row>
    <row r="506" spans="3:16" ht="13.5" thickBot="1">
      <c r="C506" s="799">
        <f>IF(D441="","-",+C505+1)</f>
        <v>2074</v>
      </c>
      <c r="D506" s="800">
        <f t="shared" si="43"/>
        <v>0</v>
      </c>
      <c r="E506" s="801">
        <f t="shared" si="41"/>
        <v>0</v>
      </c>
      <c r="F506" s="801">
        <f t="shared" si="35"/>
        <v>0</v>
      </c>
      <c r="G506" s="800">
        <f t="shared" si="40"/>
        <v>0</v>
      </c>
      <c r="H506" s="802">
        <f>+J442*G506+E506</f>
        <v>0</v>
      </c>
      <c r="I506" s="802">
        <f>+J443*G506+E506</f>
        <v>0</v>
      </c>
      <c r="J506" s="803">
        <f t="shared" si="42"/>
        <v>0</v>
      </c>
      <c r="K506" s="793"/>
      <c r="L506" s="814"/>
      <c r="M506" s="803">
        <f t="shared" si="36"/>
        <v>0</v>
      </c>
      <c r="N506" s="814"/>
      <c r="O506" s="803">
        <f t="shared" si="37"/>
        <v>0</v>
      </c>
      <c r="P506" s="803">
        <f t="shared" si="38"/>
        <v>0</v>
      </c>
    </row>
    <row r="507" spans="3:16">
      <c r="C507" s="737" t="s">
        <v>83</v>
      </c>
      <c r="D507" s="731"/>
      <c r="E507" s="731">
        <f>SUM(E447:E506)</f>
        <v>21756984.210000001</v>
      </c>
      <c r="F507" s="731"/>
      <c r="G507" s="731"/>
      <c r="H507" s="731">
        <f>SUM(H447:H506)</f>
        <v>73817378.976616308</v>
      </c>
      <c r="I507" s="731">
        <f>SUM(I447:I506)</f>
        <v>73817378.976616308</v>
      </c>
      <c r="J507" s="731">
        <f>SUM(J447:J506)</f>
        <v>0</v>
      </c>
      <c r="K507" s="731"/>
      <c r="L507" s="731"/>
      <c r="M507" s="731"/>
      <c r="N507" s="731"/>
      <c r="O507" s="731"/>
    </row>
    <row r="508" spans="3:16">
      <c r="D508" s="539"/>
      <c r="E508" s="314"/>
      <c r="F508" s="314"/>
      <c r="G508" s="314"/>
      <c r="H508" s="314"/>
      <c r="I508" s="709"/>
      <c r="J508" s="709"/>
      <c r="K508" s="731"/>
      <c r="L508" s="709"/>
      <c r="M508" s="709"/>
      <c r="N508" s="709"/>
      <c r="O508" s="709"/>
    </row>
    <row r="509" spans="3:16">
      <c r="C509" s="314" t="s">
        <v>13</v>
      </c>
      <c r="D509" s="539"/>
      <c r="E509" s="314"/>
      <c r="F509" s="314"/>
      <c r="G509" s="314"/>
      <c r="H509" s="314"/>
      <c r="I509" s="709"/>
      <c r="J509" s="709"/>
      <c r="K509" s="731"/>
      <c r="L509" s="709"/>
      <c r="M509" s="709"/>
      <c r="N509" s="709"/>
      <c r="O509" s="709"/>
    </row>
    <row r="510" spans="3:16">
      <c r="C510" s="314"/>
      <c r="D510" s="539"/>
      <c r="E510" s="314"/>
      <c r="F510" s="314"/>
      <c r="G510" s="314"/>
      <c r="H510" s="314"/>
      <c r="I510" s="709"/>
      <c r="J510" s="709"/>
      <c r="K510" s="731"/>
      <c r="L510" s="709"/>
      <c r="M510" s="709"/>
      <c r="N510" s="709"/>
      <c r="O510" s="709"/>
    </row>
    <row r="511" spans="3:16">
      <c r="C511" s="750" t="s">
        <v>14</v>
      </c>
      <c r="D511" s="737"/>
      <c r="E511" s="737"/>
      <c r="F511" s="737"/>
      <c r="G511" s="737"/>
      <c r="H511" s="731"/>
      <c r="I511" s="731"/>
      <c r="J511" s="805"/>
      <c r="K511" s="805"/>
      <c r="L511" s="805"/>
      <c r="M511" s="805"/>
      <c r="N511" s="805"/>
      <c r="O511" s="805"/>
    </row>
    <row r="512" spans="3:16">
      <c r="C512" s="736" t="s">
        <v>263</v>
      </c>
      <c r="D512" s="737"/>
      <c r="E512" s="737"/>
      <c r="F512" s="737"/>
      <c r="G512" s="737"/>
      <c r="H512" s="731"/>
      <c r="I512" s="731"/>
      <c r="J512" s="805"/>
      <c r="K512" s="805"/>
      <c r="L512" s="805"/>
      <c r="M512" s="805"/>
      <c r="N512" s="805"/>
      <c r="O512" s="805"/>
    </row>
    <row r="513" spans="1:17">
      <c r="C513" s="736" t="s">
        <v>84</v>
      </c>
      <c r="D513" s="737"/>
      <c r="E513" s="737"/>
      <c r="F513" s="737"/>
      <c r="G513" s="737"/>
      <c r="H513" s="731"/>
      <c r="I513" s="731"/>
      <c r="J513" s="805"/>
      <c r="K513" s="805"/>
      <c r="L513" s="805"/>
      <c r="M513" s="805"/>
      <c r="N513" s="805"/>
      <c r="O513" s="805"/>
    </row>
    <row r="515" spans="1:17" ht="20.25">
      <c r="A515" s="738" t="str">
        <f>""&amp;A440&amp;" Worksheet K -  ATRR TRUE-UP Calculation for PJM Projects Charged to Benefiting Zones"</f>
        <v xml:space="preserve"> Worksheet K -  ATRR TRUE-UP Calculation for PJM Projects Charged to Benefiting Zones</v>
      </c>
      <c r="B515" s="348"/>
      <c r="C515" s="726"/>
      <c r="D515" s="539"/>
      <c r="E515" s="314"/>
      <c r="F515" s="708"/>
      <c r="G515" s="708"/>
      <c r="H515" s="314"/>
      <c r="I515" s="709"/>
      <c r="L515" s="565"/>
      <c r="M515" s="565"/>
      <c r="N515" s="565"/>
      <c r="O515" s="654" t="str">
        <f>"Page "&amp;SUM(Q$8:Q515)&amp;" of "</f>
        <v xml:space="preserve">Page 7 of </v>
      </c>
      <c r="P515" s="655">
        <f>COUNT(Q$8:Q$57702)</f>
        <v>12</v>
      </c>
      <c r="Q515" s="739">
        <v>1</v>
      </c>
    </row>
    <row r="516" spans="1:17">
      <c r="B516" s="348"/>
      <c r="C516" s="314"/>
      <c r="D516" s="539"/>
      <c r="E516" s="314"/>
      <c r="F516" s="314"/>
      <c r="G516" s="314"/>
      <c r="H516" s="314"/>
      <c r="I516" s="709"/>
      <c r="J516" s="314"/>
      <c r="K516" s="427"/>
    </row>
    <row r="517" spans="1:17" ht="18">
      <c r="B517" s="658" t="s">
        <v>466</v>
      </c>
      <c r="C517" s="740" t="s">
        <v>85</v>
      </c>
      <c r="D517" s="539"/>
      <c r="E517" s="314"/>
      <c r="F517" s="314"/>
      <c r="G517" s="314"/>
      <c r="H517" s="314"/>
      <c r="I517" s="709"/>
      <c r="J517" s="709"/>
      <c r="K517" s="731"/>
      <c r="L517" s="709"/>
      <c r="M517" s="709"/>
      <c r="N517" s="709"/>
      <c r="O517" s="709"/>
    </row>
    <row r="518" spans="1:17" ht="18.75">
      <c r="B518" s="658"/>
      <c r="C518" s="657"/>
      <c r="D518" s="539"/>
      <c r="E518" s="314"/>
      <c r="F518" s="314"/>
      <c r="G518" s="314"/>
      <c r="H518" s="314"/>
      <c r="I518" s="709"/>
      <c r="J518" s="709"/>
      <c r="K518" s="731"/>
      <c r="L518" s="709"/>
      <c r="M518" s="709"/>
      <c r="N518" s="709"/>
      <c r="O518" s="709"/>
    </row>
    <row r="519" spans="1:17" ht="18.75">
      <c r="B519" s="658"/>
      <c r="C519" s="657" t="s">
        <v>86</v>
      </c>
      <c r="D519" s="539"/>
      <c r="E519" s="314"/>
      <c r="F519" s="314"/>
      <c r="G519" s="314"/>
      <c r="H519" s="314"/>
      <c r="I519" s="709"/>
      <c r="J519" s="709"/>
      <c r="K519" s="731"/>
      <c r="L519" s="709"/>
      <c r="M519" s="709"/>
      <c r="N519" s="709"/>
      <c r="O519" s="709"/>
    </row>
    <row r="520" spans="1:17" ht="15.75" thickBot="1">
      <c r="C520" s="240"/>
      <c r="D520" s="539"/>
      <c r="E520" s="314"/>
      <c r="F520" s="314"/>
      <c r="G520" s="314"/>
      <c r="H520" s="314"/>
      <c r="I520" s="709"/>
      <c r="J520" s="709"/>
      <c r="K520" s="731"/>
      <c r="L520" s="709"/>
      <c r="M520" s="709"/>
      <c r="N520" s="709"/>
      <c r="O520" s="709"/>
    </row>
    <row r="521" spans="1:17" ht="15.75">
      <c r="C521" s="660" t="s">
        <v>87</v>
      </c>
      <c r="D521" s="539"/>
      <c r="E521" s="314"/>
      <c r="F521" s="314"/>
      <c r="G521" s="314"/>
      <c r="H521" s="807"/>
      <c r="I521" s="314" t="s">
        <v>66</v>
      </c>
      <c r="J521" s="314"/>
      <c r="K521" s="427"/>
      <c r="L521" s="836">
        <f>+J527</f>
        <v>2022</v>
      </c>
      <c r="M521" s="817" t="s">
        <v>45</v>
      </c>
      <c r="N521" s="817" t="s">
        <v>46</v>
      </c>
      <c r="O521" s="818" t="s">
        <v>47</v>
      </c>
    </row>
    <row r="522" spans="1:17" ht="15.75">
      <c r="C522" s="660"/>
      <c r="D522" s="539"/>
      <c r="E522" s="314"/>
      <c r="F522" s="314"/>
      <c r="H522" s="314"/>
      <c r="I522" s="745"/>
      <c r="J522" s="745"/>
      <c r="K522" s="746"/>
      <c r="L522" s="837" t="s">
        <v>235</v>
      </c>
      <c r="M522" s="838">
        <f>VLOOKUP(J527,C534:P593,10)</f>
        <v>168144.06573355541</v>
      </c>
      <c r="N522" s="838">
        <f>VLOOKUP(J527,C534:P593,12)</f>
        <v>168144.06573355541</v>
      </c>
      <c r="O522" s="839">
        <f>+N522-M522</f>
        <v>0</v>
      </c>
    </row>
    <row r="523" spans="1:17">
      <c r="C523" s="750" t="s">
        <v>88</v>
      </c>
      <c r="D523" s="1567" t="s">
        <v>816</v>
      </c>
      <c r="E523" s="1567"/>
      <c r="F523" s="1567"/>
      <c r="G523" s="1567"/>
      <c r="H523" s="1567"/>
      <c r="I523" s="1567"/>
      <c r="J523" s="709"/>
      <c r="K523" s="731"/>
      <c r="L523" s="837" t="s">
        <v>236</v>
      </c>
      <c r="M523" s="840">
        <f>VLOOKUP(J527,C534:P593,6)</f>
        <v>171032.26832938322</v>
      </c>
      <c r="N523" s="840">
        <f>VLOOKUP(J527,C534:P593,7)</f>
        <v>171032.26832938322</v>
      </c>
      <c r="O523" s="841">
        <f>+N523-M523</f>
        <v>0</v>
      </c>
    </row>
    <row r="524" spans="1:17" ht="13.5" thickBot="1">
      <c r="C524" s="754"/>
      <c r="D524" s="755"/>
      <c r="E524" s="735"/>
      <c r="F524" s="735"/>
      <c r="G524" s="735"/>
      <c r="H524" s="756"/>
      <c r="I524" s="709"/>
      <c r="J524" s="709"/>
      <c r="K524" s="731"/>
      <c r="L524" s="773" t="s">
        <v>237</v>
      </c>
      <c r="M524" s="842">
        <f>+M523-M522</f>
        <v>2888.20259582781</v>
      </c>
      <c r="N524" s="842">
        <f>+N523-N522</f>
        <v>2888.20259582781</v>
      </c>
      <c r="O524" s="843">
        <f>+O523-O522</f>
        <v>0</v>
      </c>
    </row>
    <row r="525" spans="1:17" ht="13.5" thickBot="1">
      <c r="C525" s="757"/>
      <c r="D525" s="758"/>
      <c r="E525" s="756"/>
      <c r="F525" s="756"/>
      <c r="G525" s="756"/>
      <c r="H525" s="756"/>
      <c r="I525" s="756"/>
      <c r="J525" s="756"/>
      <c r="K525" s="759"/>
      <c r="L525" s="756"/>
      <c r="M525" s="756"/>
      <c r="N525" s="756"/>
      <c r="O525" s="756"/>
      <c r="P525" s="348"/>
    </row>
    <row r="526" spans="1:17" ht="13.5" thickBot="1">
      <c r="C526" s="760" t="s">
        <v>89</v>
      </c>
      <c r="D526" s="761"/>
      <c r="E526" s="761"/>
      <c r="F526" s="761"/>
      <c r="G526" s="761"/>
      <c r="H526" s="761"/>
      <c r="I526" s="761"/>
      <c r="J526" s="761"/>
      <c r="K526" s="763"/>
      <c r="P526" s="764"/>
    </row>
    <row r="527" spans="1:17" ht="15">
      <c r="C527" s="765" t="s">
        <v>67</v>
      </c>
      <c r="D527" s="809">
        <v>1465791.68</v>
      </c>
      <c r="E527" s="726" t="s">
        <v>68</v>
      </c>
      <c r="H527" s="766"/>
      <c r="I527" s="766"/>
      <c r="J527" s="767">
        <f>$J$93</f>
        <v>2022</v>
      </c>
      <c r="K527" s="555"/>
      <c r="L527" s="1569" t="s">
        <v>69</v>
      </c>
      <c r="M527" s="1569"/>
      <c r="N527" s="1569"/>
      <c r="O527" s="1569"/>
      <c r="P527" s="427"/>
    </row>
    <row r="528" spans="1:17">
      <c r="C528" s="765" t="s">
        <v>70</v>
      </c>
      <c r="D528" s="810">
        <v>2015</v>
      </c>
      <c r="E528" s="765" t="s">
        <v>71</v>
      </c>
      <c r="F528" s="766"/>
      <c r="G528" s="766"/>
      <c r="I528" s="173"/>
      <c r="J528" s="811">
        <f>IF(H521="",0,$F$17)</f>
        <v>0</v>
      </c>
      <c r="K528" s="768"/>
      <c r="L528" s="731" t="s">
        <v>277</v>
      </c>
      <c r="P528" s="427"/>
    </row>
    <row r="529" spans="2:16">
      <c r="C529" s="765" t="s">
        <v>72</v>
      </c>
      <c r="D529" s="809">
        <v>6</v>
      </c>
      <c r="E529" s="765" t="s">
        <v>73</v>
      </c>
      <c r="F529" s="766"/>
      <c r="G529" s="766"/>
      <c r="I529" s="173"/>
      <c r="J529" s="769">
        <f>$F$70</f>
        <v>0.11129362813814259</v>
      </c>
      <c r="K529" s="770"/>
      <c r="L529" s="314" t="str">
        <f>"          INPUT TRUE-UP ARR (WITH &amp; WITHOUT INCENTIVES) FROM EACH PRIOR YEAR"</f>
        <v xml:space="preserve">          INPUT TRUE-UP ARR (WITH &amp; WITHOUT INCENTIVES) FROM EACH PRIOR YEAR</v>
      </c>
      <c r="P529" s="427"/>
    </row>
    <row r="530" spans="2:16">
      <c r="C530" s="765" t="s">
        <v>74</v>
      </c>
      <c r="D530" s="771">
        <f>H$79</f>
        <v>41</v>
      </c>
      <c r="E530" s="765" t="s">
        <v>75</v>
      </c>
      <c r="F530" s="766"/>
      <c r="G530" s="766"/>
      <c r="I530" s="173"/>
      <c r="J530" s="769">
        <f>IF(H521="",+J529,$F$69)</f>
        <v>0.11129362813814259</v>
      </c>
      <c r="K530" s="772"/>
      <c r="L530" s="314" t="s">
        <v>157</v>
      </c>
      <c r="M530" s="772"/>
      <c r="N530" s="772"/>
      <c r="O530" s="772"/>
      <c r="P530" s="427"/>
    </row>
    <row r="531" spans="2:16" ht="13.5" thickBot="1">
      <c r="C531" s="765" t="s">
        <v>76</v>
      </c>
      <c r="D531" s="808" t="s">
        <v>811</v>
      </c>
      <c r="E531" s="773" t="s">
        <v>77</v>
      </c>
      <c r="F531" s="774"/>
      <c r="G531" s="774"/>
      <c r="H531" s="775"/>
      <c r="I531" s="775"/>
      <c r="J531" s="753">
        <f>IF(D527=0,0,D527/D530)</f>
        <v>35751.016585365855</v>
      </c>
      <c r="K531" s="731"/>
      <c r="L531" s="731" t="s">
        <v>158</v>
      </c>
      <c r="M531" s="731"/>
      <c r="N531" s="731"/>
      <c r="O531" s="731"/>
      <c r="P531" s="427"/>
    </row>
    <row r="532" spans="2:16" ht="38.25">
      <c r="B532" s="846"/>
      <c r="C532" s="776" t="s">
        <v>67</v>
      </c>
      <c r="D532" s="777" t="s">
        <v>78</v>
      </c>
      <c r="E532" s="778" t="s">
        <v>79</v>
      </c>
      <c r="F532" s="777" t="s">
        <v>80</v>
      </c>
      <c r="G532" s="777" t="s">
        <v>238</v>
      </c>
      <c r="H532" s="778" t="s">
        <v>151</v>
      </c>
      <c r="I532" s="779" t="s">
        <v>151</v>
      </c>
      <c r="J532" s="776" t="s">
        <v>90</v>
      </c>
      <c r="K532" s="780"/>
      <c r="L532" s="778" t="s">
        <v>153</v>
      </c>
      <c r="M532" s="778" t="s">
        <v>159</v>
      </c>
      <c r="N532" s="778" t="s">
        <v>153</v>
      </c>
      <c r="O532" s="778" t="s">
        <v>161</v>
      </c>
      <c r="P532" s="778" t="s">
        <v>81</v>
      </c>
    </row>
    <row r="533" spans="2:16" ht="13.5" thickBot="1">
      <c r="C533" s="782" t="s">
        <v>469</v>
      </c>
      <c r="D533" s="783" t="s">
        <v>470</v>
      </c>
      <c r="E533" s="782" t="s">
        <v>363</v>
      </c>
      <c r="F533" s="783" t="s">
        <v>470</v>
      </c>
      <c r="G533" s="783" t="s">
        <v>470</v>
      </c>
      <c r="H533" s="784" t="s">
        <v>93</v>
      </c>
      <c r="I533" s="785" t="s">
        <v>95</v>
      </c>
      <c r="J533" s="786" t="s">
        <v>15</v>
      </c>
      <c r="K533" s="787"/>
      <c r="L533" s="784" t="s">
        <v>82</v>
      </c>
      <c r="M533" s="784" t="s">
        <v>82</v>
      </c>
      <c r="N533" s="784" t="s">
        <v>255</v>
      </c>
      <c r="O533" s="784" t="s">
        <v>255</v>
      </c>
      <c r="P533" s="784" t="s">
        <v>255</v>
      </c>
    </row>
    <row r="534" spans="2:16">
      <c r="C534" s="789">
        <f>IF(D528= "","-",D528)</f>
        <v>2015</v>
      </c>
      <c r="D534" s="737">
        <f>+D527</f>
        <v>1465791.68</v>
      </c>
      <c r="E534" s="795">
        <f>+J531/12*(12-D529)</f>
        <v>17875.508292682927</v>
      </c>
      <c r="F534" s="844">
        <f t="shared" ref="F534:F593" si="44">+D534-E534</f>
        <v>1447916.171707317</v>
      </c>
      <c r="G534" s="737">
        <f>+(D534+F534)/2</f>
        <v>1456853.9258536585</v>
      </c>
      <c r="H534" s="791">
        <f>+J529*G534+E534</f>
        <v>180014.06736823314</v>
      </c>
      <c r="I534" s="792">
        <f>+J530*G534+E534</f>
        <v>180014.06736823314</v>
      </c>
      <c r="J534" s="793">
        <f>+I534-H534</f>
        <v>0</v>
      </c>
      <c r="K534" s="793"/>
      <c r="L534" s="812">
        <v>231097</v>
      </c>
      <c r="M534" s="845">
        <f t="shared" ref="M534:M593" si="45">IF(L534&lt;&gt;0,+H534-L534,0)</f>
        <v>-51082.93263176686</v>
      </c>
      <c r="N534" s="812">
        <v>231097</v>
      </c>
      <c r="O534" s="845">
        <f t="shared" ref="O534:O593" si="46">IF(N534&lt;&gt;0,+I534-N534,0)</f>
        <v>-51082.93263176686</v>
      </c>
      <c r="P534" s="845">
        <f t="shared" ref="P534:P593" si="47">+O534-M534</f>
        <v>0</v>
      </c>
    </row>
    <row r="535" spans="2:16">
      <c r="C535" s="789">
        <f>IF(D528="","-",+C534+1)</f>
        <v>2016</v>
      </c>
      <c r="D535" s="737">
        <f t="shared" ref="D535:D587" si="48">F534</f>
        <v>1447916.171707317</v>
      </c>
      <c r="E535" s="790">
        <f>IF(D535&gt;$J$531,$J$531,D535)</f>
        <v>35751.016585365855</v>
      </c>
      <c r="F535" s="790">
        <f t="shared" si="44"/>
        <v>1412165.1551219511</v>
      </c>
      <c r="G535" s="737">
        <f t="shared" ref="G535:G593" si="49">+(D535+F535)/2</f>
        <v>1430040.6634146341</v>
      </c>
      <c r="H535" s="795">
        <f>+J529*G535+E535</f>
        <v>194905.43040185684</v>
      </c>
      <c r="I535" s="796">
        <f>+J530*G535+E535</f>
        <v>194905.43040185684</v>
      </c>
      <c r="J535" s="793">
        <f>+I535-H535</f>
        <v>0</v>
      </c>
      <c r="K535" s="793"/>
      <c r="L535" s="813">
        <v>145269</v>
      </c>
      <c r="M535" s="793">
        <f t="shared" si="45"/>
        <v>49636.430401856836</v>
      </c>
      <c r="N535" s="813">
        <v>145269</v>
      </c>
      <c r="O535" s="793">
        <f t="shared" si="46"/>
        <v>49636.430401856836</v>
      </c>
      <c r="P535" s="793">
        <f t="shared" si="47"/>
        <v>0</v>
      </c>
    </row>
    <row r="536" spans="2:16">
      <c r="C536" s="789">
        <f>IF(D528="","-",+C535+1)</f>
        <v>2017</v>
      </c>
      <c r="D536" s="737">
        <f t="shared" si="48"/>
        <v>1412165.1551219511</v>
      </c>
      <c r="E536" s="790">
        <f t="shared" ref="E536:E593" si="50">IF(D536&gt;$J$531,$J$531,D536)</f>
        <v>35751.016585365855</v>
      </c>
      <c r="F536" s="790">
        <f t="shared" si="44"/>
        <v>1376414.1385365853</v>
      </c>
      <c r="G536" s="737">
        <f t="shared" si="49"/>
        <v>1394289.6468292682</v>
      </c>
      <c r="H536" s="795">
        <f>+J529*G536+E536</f>
        <v>190926.57005644456</v>
      </c>
      <c r="I536" s="796">
        <f>+J530*G536+E536</f>
        <v>190926.57005644456</v>
      </c>
      <c r="J536" s="793">
        <f t="shared" ref="J536:J593" si="51">+I536-H536</f>
        <v>0</v>
      </c>
      <c r="K536" s="793"/>
      <c r="L536" s="813">
        <v>174707</v>
      </c>
      <c r="M536" s="793">
        <f t="shared" si="45"/>
        <v>16219.570056444558</v>
      </c>
      <c r="N536" s="813">
        <v>174707</v>
      </c>
      <c r="O536" s="793">
        <f t="shared" si="46"/>
        <v>16219.570056444558</v>
      </c>
      <c r="P536" s="793">
        <f t="shared" si="47"/>
        <v>0</v>
      </c>
    </row>
    <row r="537" spans="2:16">
      <c r="C537" s="789">
        <f>IF(D528="","-",+C536+1)</f>
        <v>2018</v>
      </c>
      <c r="D537" s="1377">
        <f t="shared" si="48"/>
        <v>1376414.1385365853</v>
      </c>
      <c r="E537" s="790">
        <f t="shared" si="50"/>
        <v>35751.016585365855</v>
      </c>
      <c r="F537" s="790">
        <f t="shared" si="44"/>
        <v>1340663.1219512194</v>
      </c>
      <c r="G537" s="737">
        <f t="shared" si="49"/>
        <v>1358538.6302439023</v>
      </c>
      <c r="H537" s="795">
        <f>+J529*G537+E537</f>
        <v>186947.70971103234</v>
      </c>
      <c r="I537" s="796">
        <f>+J530*G537+E537</f>
        <v>186947.70971103234</v>
      </c>
      <c r="J537" s="793">
        <f t="shared" si="51"/>
        <v>0</v>
      </c>
      <c r="K537" s="793"/>
      <c r="L537" s="813">
        <v>159518</v>
      </c>
      <c r="M537" s="793">
        <f t="shared" si="45"/>
        <v>27429.709711032338</v>
      </c>
      <c r="N537" s="813">
        <v>159518</v>
      </c>
      <c r="O537" s="793">
        <f t="shared" si="46"/>
        <v>27429.709711032338</v>
      </c>
      <c r="P537" s="793">
        <f t="shared" si="47"/>
        <v>0</v>
      </c>
    </row>
    <row r="538" spans="2:16">
      <c r="C538" s="789">
        <f>IF(D528="","-",+C537+1)</f>
        <v>2019</v>
      </c>
      <c r="D538" s="737">
        <f t="shared" si="48"/>
        <v>1340663.1219512194</v>
      </c>
      <c r="E538" s="790">
        <f t="shared" si="50"/>
        <v>35751.016585365855</v>
      </c>
      <c r="F538" s="790">
        <f t="shared" si="44"/>
        <v>1304912.1053658535</v>
      </c>
      <c r="G538" s="737">
        <f t="shared" si="49"/>
        <v>1322787.6136585365</v>
      </c>
      <c r="H538" s="795">
        <f>+J529*G538+E538</f>
        <v>182968.84936562006</v>
      </c>
      <c r="I538" s="796">
        <f>+J530*G538+E538</f>
        <v>182968.84936562006</v>
      </c>
      <c r="J538" s="793">
        <f t="shared" si="51"/>
        <v>0</v>
      </c>
      <c r="K538" s="793"/>
      <c r="L538" s="813">
        <v>170220.29271990934</v>
      </c>
      <c r="M538" s="793">
        <f t="shared" si="45"/>
        <v>12748.55664571072</v>
      </c>
      <c r="N538" s="813">
        <v>170220.29271990934</v>
      </c>
      <c r="O538" s="793">
        <f t="shared" si="46"/>
        <v>12748.55664571072</v>
      </c>
      <c r="P538" s="793">
        <f t="shared" si="47"/>
        <v>0</v>
      </c>
    </row>
    <row r="539" spans="2:16">
      <c r="C539" s="789">
        <f>IF(D528="","-",+C538+1)</f>
        <v>2020</v>
      </c>
      <c r="D539" s="737">
        <f t="shared" si="48"/>
        <v>1304912.1053658535</v>
      </c>
      <c r="E539" s="790">
        <f t="shared" si="50"/>
        <v>35751.016585365855</v>
      </c>
      <c r="F539" s="790">
        <f t="shared" si="44"/>
        <v>1269161.0887804877</v>
      </c>
      <c r="G539" s="737">
        <f t="shared" si="49"/>
        <v>1287036.5970731706</v>
      </c>
      <c r="H539" s="795">
        <f>+J529*G539+E539</f>
        <v>178989.98902020778</v>
      </c>
      <c r="I539" s="796">
        <f>+J530*G539+E539</f>
        <v>178989.98902020778</v>
      </c>
      <c r="J539" s="793">
        <f t="shared" si="51"/>
        <v>0</v>
      </c>
      <c r="K539" s="793"/>
      <c r="L539" s="813">
        <v>168073.35315193239</v>
      </c>
      <c r="M539" s="793">
        <f t="shared" si="45"/>
        <v>10916.635868275393</v>
      </c>
      <c r="N539" s="813">
        <v>168073.35315193239</v>
      </c>
      <c r="O539" s="793">
        <f t="shared" si="46"/>
        <v>10916.635868275393</v>
      </c>
      <c r="P539" s="793">
        <f t="shared" si="47"/>
        <v>0</v>
      </c>
    </row>
    <row r="540" spans="2:16">
      <c r="C540" s="789">
        <f>IF(D528="","-",+C539+1)</f>
        <v>2021</v>
      </c>
      <c r="D540" s="737">
        <f t="shared" si="48"/>
        <v>1269161.0887804877</v>
      </c>
      <c r="E540" s="790">
        <f t="shared" si="50"/>
        <v>35751.016585365855</v>
      </c>
      <c r="F540" s="790">
        <f t="shared" si="44"/>
        <v>1233410.0721951218</v>
      </c>
      <c r="G540" s="737">
        <f t="shared" si="49"/>
        <v>1251285.5804878047</v>
      </c>
      <c r="H540" s="795">
        <f>+J529*G540+E540</f>
        <v>175011.1286747955</v>
      </c>
      <c r="I540" s="796">
        <f>+J530*G540+E540</f>
        <v>175011.1286747955</v>
      </c>
      <c r="J540" s="793">
        <f t="shared" si="51"/>
        <v>0</v>
      </c>
      <c r="K540" s="793"/>
      <c r="L540" s="813">
        <v>168687.50749365854</v>
      </c>
      <c r="M540" s="793">
        <f t="shared" si="45"/>
        <v>6323.6211811369576</v>
      </c>
      <c r="N540" s="813">
        <v>168687.50749365854</v>
      </c>
      <c r="O540" s="793">
        <f t="shared" si="46"/>
        <v>6323.6211811369576</v>
      </c>
      <c r="P540" s="793">
        <f t="shared" si="47"/>
        <v>0</v>
      </c>
    </row>
    <row r="541" spans="2:16">
      <c r="C541" s="789">
        <f>IF(D528="","-",+C540+1)</f>
        <v>2022</v>
      </c>
      <c r="D541" s="737">
        <f t="shared" si="48"/>
        <v>1233410.0721951218</v>
      </c>
      <c r="E541" s="790">
        <f t="shared" si="50"/>
        <v>35751.016585365855</v>
      </c>
      <c r="F541" s="790">
        <f t="shared" si="44"/>
        <v>1197659.0556097559</v>
      </c>
      <c r="G541" s="737">
        <f t="shared" si="49"/>
        <v>1215534.5639024389</v>
      </c>
      <c r="H541" s="795">
        <f>+J529*G541+E541</f>
        <v>171032.26832938322</v>
      </c>
      <c r="I541" s="796">
        <f>+J530*G541+E541</f>
        <v>171032.26832938322</v>
      </c>
      <c r="J541" s="793">
        <f t="shared" si="51"/>
        <v>0</v>
      </c>
      <c r="K541" s="793"/>
      <c r="L541" s="813">
        <v>168144.06573355541</v>
      </c>
      <c r="M541" s="793">
        <f t="shared" si="45"/>
        <v>2888.20259582781</v>
      </c>
      <c r="N541" s="813">
        <v>168144.06573355541</v>
      </c>
      <c r="O541" s="793">
        <f t="shared" si="46"/>
        <v>2888.20259582781</v>
      </c>
      <c r="P541" s="793">
        <f t="shared" si="47"/>
        <v>0</v>
      </c>
    </row>
    <row r="542" spans="2:16">
      <c r="C542" s="789">
        <f>IF(D528="","-",+C541+1)</f>
        <v>2023</v>
      </c>
      <c r="D542" s="737">
        <f t="shared" si="48"/>
        <v>1197659.0556097559</v>
      </c>
      <c r="E542" s="790">
        <f t="shared" si="50"/>
        <v>35751.016585365855</v>
      </c>
      <c r="F542" s="790">
        <f t="shared" si="44"/>
        <v>1161908.03902439</v>
      </c>
      <c r="G542" s="737">
        <f t="shared" si="49"/>
        <v>1179783.547317073</v>
      </c>
      <c r="H542" s="795">
        <f>+J529*G542+E542</f>
        <v>167053.40798397094</v>
      </c>
      <c r="I542" s="796">
        <f>+J530*G542+E542</f>
        <v>167053.40798397094</v>
      </c>
      <c r="J542" s="793">
        <f t="shared" si="51"/>
        <v>0</v>
      </c>
      <c r="K542" s="793"/>
      <c r="L542" s="813"/>
      <c r="M542" s="793">
        <f t="shared" si="45"/>
        <v>0</v>
      </c>
      <c r="N542" s="813"/>
      <c r="O542" s="793">
        <f t="shared" si="46"/>
        <v>0</v>
      </c>
      <c r="P542" s="793">
        <f t="shared" si="47"/>
        <v>0</v>
      </c>
    </row>
    <row r="543" spans="2:16">
      <c r="C543" s="789">
        <f>IF(D528="","-",+C542+1)</f>
        <v>2024</v>
      </c>
      <c r="D543" s="737">
        <f t="shared" si="48"/>
        <v>1161908.03902439</v>
      </c>
      <c r="E543" s="790">
        <f t="shared" si="50"/>
        <v>35751.016585365855</v>
      </c>
      <c r="F543" s="790">
        <f t="shared" si="44"/>
        <v>1126157.0224390242</v>
      </c>
      <c r="G543" s="737">
        <f t="shared" si="49"/>
        <v>1144032.5307317071</v>
      </c>
      <c r="H543" s="795">
        <f>+J529*G543+E543</f>
        <v>163074.54763855867</v>
      </c>
      <c r="I543" s="796">
        <f>+J530*G543+E543</f>
        <v>163074.54763855867</v>
      </c>
      <c r="J543" s="793">
        <f t="shared" si="51"/>
        <v>0</v>
      </c>
      <c r="K543" s="793"/>
      <c r="L543" s="813"/>
      <c r="M543" s="793">
        <f t="shared" si="45"/>
        <v>0</v>
      </c>
      <c r="N543" s="813"/>
      <c r="O543" s="793">
        <f t="shared" si="46"/>
        <v>0</v>
      </c>
      <c r="P543" s="793">
        <f t="shared" si="47"/>
        <v>0</v>
      </c>
    </row>
    <row r="544" spans="2:16">
      <c r="C544" s="789">
        <f>IF(D528="","-",+C543+1)</f>
        <v>2025</v>
      </c>
      <c r="D544" s="737">
        <f t="shared" si="48"/>
        <v>1126157.0224390242</v>
      </c>
      <c r="E544" s="790">
        <f t="shared" si="50"/>
        <v>35751.016585365855</v>
      </c>
      <c r="F544" s="790">
        <f t="shared" si="44"/>
        <v>1090406.0058536583</v>
      </c>
      <c r="G544" s="737">
        <f t="shared" si="49"/>
        <v>1108281.5141463412</v>
      </c>
      <c r="H544" s="795">
        <f>+J529*G544+E544</f>
        <v>159095.68729314639</v>
      </c>
      <c r="I544" s="796">
        <f>+J530*G544+E544</f>
        <v>159095.68729314639</v>
      </c>
      <c r="J544" s="793">
        <f t="shared" si="51"/>
        <v>0</v>
      </c>
      <c r="K544" s="793"/>
      <c r="L544" s="813"/>
      <c r="M544" s="793">
        <f t="shared" si="45"/>
        <v>0</v>
      </c>
      <c r="N544" s="813"/>
      <c r="O544" s="793">
        <f t="shared" si="46"/>
        <v>0</v>
      </c>
      <c r="P544" s="793">
        <f t="shared" si="47"/>
        <v>0</v>
      </c>
    </row>
    <row r="545" spans="3:16">
      <c r="C545" s="789">
        <f>IF(D528="","-",+C544+1)</f>
        <v>2026</v>
      </c>
      <c r="D545" s="737">
        <f t="shared" si="48"/>
        <v>1090406.0058536583</v>
      </c>
      <c r="E545" s="790">
        <f t="shared" si="50"/>
        <v>35751.016585365855</v>
      </c>
      <c r="F545" s="790">
        <f t="shared" si="44"/>
        <v>1054654.9892682924</v>
      </c>
      <c r="G545" s="737">
        <f t="shared" si="49"/>
        <v>1072530.4975609754</v>
      </c>
      <c r="H545" s="795">
        <f>+J529*G545+E545</f>
        <v>155116.82694773411</v>
      </c>
      <c r="I545" s="796">
        <f>+J530*G545+E545</f>
        <v>155116.82694773411</v>
      </c>
      <c r="J545" s="793">
        <f t="shared" si="51"/>
        <v>0</v>
      </c>
      <c r="K545" s="793"/>
      <c r="L545" s="813"/>
      <c r="M545" s="793">
        <f t="shared" si="45"/>
        <v>0</v>
      </c>
      <c r="N545" s="813"/>
      <c r="O545" s="793">
        <f t="shared" si="46"/>
        <v>0</v>
      </c>
      <c r="P545" s="793">
        <f t="shared" si="47"/>
        <v>0</v>
      </c>
    </row>
    <row r="546" spans="3:16">
      <c r="C546" s="789">
        <f>IF(D528="","-",+C545+1)</f>
        <v>2027</v>
      </c>
      <c r="D546" s="737">
        <f t="shared" si="48"/>
        <v>1054654.9892682924</v>
      </c>
      <c r="E546" s="790">
        <f t="shared" si="50"/>
        <v>35751.016585365855</v>
      </c>
      <c r="F546" s="790">
        <f t="shared" si="44"/>
        <v>1018903.9726829266</v>
      </c>
      <c r="G546" s="737">
        <f t="shared" si="49"/>
        <v>1036779.4809756095</v>
      </c>
      <c r="H546" s="795">
        <f>+J529*G546+E546</f>
        <v>151137.96660232183</v>
      </c>
      <c r="I546" s="796">
        <f>+J530*G546+E546</f>
        <v>151137.96660232183</v>
      </c>
      <c r="J546" s="793">
        <f t="shared" si="51"/>
        <v>0</v>
      </c>
      <c r="K546" s="793"/>
      <c r="L546" s="813"/>
      <c r="M546" s="793">
        <f t="shared" si="45"/>
        <v>0</v>
      </c>
      <c r="N546" s="813"/>
      <c r="O546" s="793">
        <f t="shared" si="46"/>
        <v>0</v>
      </c>
      <c r="P546" s="793">
        <f t="shared" si="47"/>
        <v>0</v>
      </c>
    </row>
    <row r="547" spans="3:16">
      <c r="C547" s="789">
        <f>IF(D528="","-",+C546+1)</f>
        <v>2028</v>
      </c>
      <c r="D547" s="737">
        <f t="shared" si="48"/>
        <v>1018903.9726829266</v>
      </c>
      <c r="E547" s="790">
        <f t="shared" si="50"/>
        <v>35751.016585365855</v>
      </c>
      <c r="F547" s="790">
        <f t="shared" si="44"/>
        <v>983152.9560975607</v>
      </c>
      <c r="G547" s="737">
        <f t="shared" si="49"/>
        <v>1001028.4643902436</v>
      </c>
      <c r="H547" s="795">
        <f>+J529*G547+E547</f>
        <v>147159.10625690955</v>
      </c>
      <c r="I547" s="796">
        <f>+J530*G547+E547</f>
        <v>147159.10625690955</v>
      </c>
      <c r="J547" s="793">
        <f t="shared" si="51"/>
        <v>0</v>
      </c>
      <c r="K547" s="793"/>
      <c r="L547" s="813"/>
      <c r="M547" s="793">
        <f t="shared" si="45"/>
        <v>0</v>
      </c>
      <c r="N547" s="813"/>
      <c r="O547" s="793">
        <f t="shared" si="46"/>
        <v>0</v>
      </c>
      <c r="P547" s="793">
        <f t="shared" si="47"/>
        <v>0</v>
      </c>
    </row>
    <row r="548" spans="3:16">
      <c r="C548" s="789">
        <f>IF(D528="","-",+C547+1)</f>
        <v>2029</v>
      </c>
      <c r="D548" s="737">
        <f t="shared" si="48"/>
        <v>983152.9560975607</v>
      </c>
      <c r="E548" s="790">
        <f t="shared" si="50"/>
        <v>35751.016585365855</v>
      </c>
      <c r="F548" s="790">
        <f t="shared" si="44"/>
        <v>947401.93951219483</v>
      </c>
      <c r="G548" s="737">
        <f t="shared" si="49"/>
        <v>965277.44780487777</v>
      </c>
      <c r="H548" s="795">
        <f>+J529*G548+E548</f>
        <v>143180.24591149727</v>
      </c>
      <c r="I548" s="796">
        <f>+J530*G548+E548</f>
        <v>143180.24591149727</v>
      </c>
      <c r="J548" s="793">
        <f t="shared" si="51"/>
        <v>0</v>
      </c>
      <c r="K548" s="793"/>
      <c r="L548" s="813"/>
      <c r="M548" s="793">
        <f t="shared" si="45"/>
        <v>0</v>
      </c>
      <c r="N548" s="813"/>
      <c r="O548" s="793">
        <f t="shared" si="46"/>
        <v>0</v>
      </c>
      <c r="P548" s="793">
        <f t="shared" si="47"/>
        <v>0</v>
      </c>
    </row>
    <row r="549" spans="3:16">
      <c r="C549" s="789">
        <f>IF(D528="","-",+C548+1)</f>
        <v>2030</v>
      </c>
      <c r="D549" s="737">
        <f t="shared" si="48"/>
        <v>947401.93951219483</v>
      </c>
      <c r="E549" s="790">
        <f t="shared" si="50"/>
        <v>35751.016585365855</v>
      </c>
      <c r="F549" s="790">
        <f t="shared" si="44"/>
        <v>911650.92292682896</v>
      </c>
      <c r="G549" s="737">
        <f t="shared" si="49"/>
        <v>929526.4312195119</v>
      </c>
      <c r="H549" s="795">
        <f>+J529*G549+E549</f>
        <v>139201.38556608499</v>
      </c>
      <c r="I549" s="796">
        <f>+J530*G549+E549</f>
        <v>139201.38556608499</v>
      </c>
      <c r="J549" s="793">
        <f t="shared" si="51"/>
        <v>0</v>
      </c>
      <c r="K549" s="793"/>
      <c r="L549" s="813"/>
      <c r="M549" s="793">
        <f t="shared" si="45"/>
        <v>0</v>
      </c>
      <c r="N549" s="813"/>
      <c r="O549" s="793">
        <f t="shared" si="46"/>
        <v>0</v>
      </c>
      <c r="P549" s="793">
        <f t="shared" si="47"/>
        <v>0</v>
      </c>
    </row>
    <row r="550" spans="3:16">
      <c r="C550" s="789">
        <f>IF(D528="","-",+C549+1)</f>
        <v>2031</v>
      </c>
      <c r="D550" s="737">
        <f t="shared" si="48"/>
        <v>911650.92292682896</v>
      </c>
      <c r="E550" s="790">
        <f t="shared" si="50"/>
        <v>35751.016585365855</v>
      </c>
      <c r="F550" s="790">
        <f t="shared" si="44"/>
        <v>875899.90634146309</v>
      </c>
      <c r="G550" s="737">
        <f t="shared" si="49"/>
        <v>893775.41463414603</v>
      </c>
      <c r="H550" s="795">
        <f>+J529*G550+E550</f>
        <v>135222.52522067272</v>
      </c>
      <c r="I550" s="796">
        <f>+J530*G550+E550</f>
        <v>135222.52522067272</v>
      </c>
      <c r="J550" s="793">
        <f t="shared" si="51"/>
        <v>0</v>
      </c>
      <c r="K550" s="793"/>
      <c r="L550" s="813"/>
      <c r="M550" s="793">
        <f t="shared" si="45"/>
        <v>0</v>
      </c>
      <c r="N550" s="813"/>
      <c r="O550" s="793">
        <f t="shared" si="46"/>
        <v>0</v>
      </c>
      <c r="P550" s="793">
        <f t="shared" si="47"/>
        <v>0</v>
      </c>
    </row>
    <row r="551" spans="3:16">
      <c r="C551" s="789">
        <f>IF(D528="","-",+C550+1)</f>
        <v>2032</v>
      </c>
      <c r="D551" s="737">
        <f t="shared" si="48"/>
        <v>875899.90634146309</v>
      </c>
      <c r="E551" s="790">
        <f t="shared" si="50"/>
        <v>35751.016585365855</v>
      </c>
      <c r="F551" s="790">
        <f t="shared" si="44"/>
        <v>840148.88975609723</v>
      </c>
      <c r="G551" s="737">
        <f t="shared" si="49"/>
        <v>858024.39804878016</v>
      </c>
      <c r="H551" s="795">
        <f>+J529*G551+E551</f>
        <v>131243.66487526044</v>
      </c>
      <c r="I551" s="796">
        <f>+J530*G551+E551</f>
        <v>131243.66487526044</v>
      </c>
      <c r="J551" s="793">
        <f t="shared" si="51"/>
        <v>0</v>
      </c>
      <c r="K551" s="793"/>
      <c r="L551" s="813"/>
      <c r="M551" s="793">
        <f t="shared" si="45"/>
        <v>0</v>
      </c>
      <c r="N551" s="813"/>
      <c r="O551" s="793">
        <f t="shared" si="46"/>
        <v>0</v>
      </c>
      <c r="P551" s="793">
        <f t="shared" si="47"/>
        <v>0</v>
      </c>
    </row>
    <row r="552" spans="3:16">
      <c r="C552" s="789">
        <f>IF(D528="","-",+C551+1)</f>
        <v>2033</v>
      </c>
      <c r="D552" s="737">
        <f t="shared" si="48"/>
        <v>840148.88975609723</v>
      </c>
      <c r="E552" s="790">
        <f t="shared" si="50"/>
        <v>35751.016585365855</v>
      </c>
      <c r="F552" s="790">
        <f t="shared" si="44"/>
        <v>804397.87317073136</v>
      </c>
      <c r="G552" s="737">
        <f t="shared" si="49"/>
        <v>822273.38146341429</v>
      </c>
      <c r="H552" s="795">
        <f>+J529*G552+E552</f>
        <v>127264.80452984814</v>
      </c>
      <c r="I552" s="796">
        <f>+J530*G552+E552</f>
        <v>127264.80452984814</v>
      </c>
      <c r="J552" s="793">
        <f t="shared" si="51"/>
        <v>0</v>
      </c>
      <c r="K552" s="793"/>
      <c r="L552" s="813"/>
      <c r="M552" s="793">
        <f t="shared" si="45"/>
        <v>0</v>
      </c>
      <c r="N552" s="813"/>
      <c r="O552" s="793">
        <f t="shared" si="46"/>
        <v>0</v>
      </c>
      <c r="P552" s="793">
        <f t="shared" si="47"/>
        <v>0</v>
      </c>
    </row>
    <row r="553" spans="3:16">
      <c r="C553" s="789">
        <f>IF(D528="","-",+C552+1)</f>
        <v>2034</v>
      </c>
      <c r="D553" s="737">
        <f t="shared" si="48"/>
        <v>804397.87317073136</v>
      </c>
      <c r="E553" s="790">
        <f t="shared" si="50"/>
        <v>35751.016585365855</v>
      </c>
      <c r="F553" s="790">
        <f t="shared" si="44"/>
        <v>768646.85658536549</v>
      </c>
      <c r="G553" s="737">
        <f t="shared" si="49"/>
        <v>786522.36487804842</v>
      </c>
      <c r="H553" s="795">
        <f>+J529*G553+E553</f>
        <v>123285.94418443588</v>
      </c>
      <c r="I553" s="796">
        <f>+J530*G553+E553</f>
        <v>123285.94418443588</v>
      </c>
      <c r="J553" s="793">
        <f t="shared" si="51"/>
        <v>0</v>
      </c>
      <c r="K553" s="793"/>
      <c r="L553" s="813"/>
      <c r="M553" s="793">
        <f t="shared" si="45"/>
        <v>0</v>
      </c>
      <c r="N553" s="813"/>
      <c r="O553" s="793">
        <f t="shared" si="46"/>
        <v>0</v>
      </c>
      <c r="P553" s="793">
        <f t="shared" si="47"/>
        <v>0</v>
      </c>
    </row>
    <row r="554" spans="3:16">
      <c r="C554" s="789">
        <f>IF(D528="","-",+C553+1)</f>
        <v>2035</v>
      </c>
      <c r="D554" s="737">
        <f t="shared" si="48"/>
        <v>768646.85658536549</v>
      </c>
      <c r="E554" s="790">
        <f t="shared" si="50"/>
        <v>35751.016585365855</v>
      </c>
      <c r="F554" s="790">
        <f t="shared" si="44"/>
        <v>732895.83999999962</v>
      </c>
      <c r="G554" s="737">
        <f t="shared" si="49"/>
        <v>750771.34829268255</v>
      </c>
      <c r="H554" s="795">
        <f>+J529*G554+E554</f>
        <v>119307.0838390236</v>
      </c>
      <c r="I554" s="796">
        <f>+J530*G554+E554</f>
        <v>119307.0838390236</v>
      </c>
      <c r="J554" s="793">
        <f t="shared" si="51"/>
        <v>0</v>
      </c>
      <c r="K554" s="793"/>
      <c r="L554" s="813"/>
      <c r="M554" s="793">
        <f t="shared" si="45"/>
        <v>0</v>
      </c>
      <c r="N554" s="813"/>
      <c r="O554" s="793">
        <f t="shared" si="46"/>
        <v>0</v>
      </c>
      <c r="P554" s="793">
        <f t="shared" si="47"/>
        <v>0</v>
      </c>
    </row>
    <row r="555" spans="3:16">
      <c r="C555" s="789">
        <f>IF(D528="","-",+C554+1)</f>
        <v>2036</v>
      </c>
      <c r="D555" s="737">
        <f t="shared" si="48"/>
        <v>732895.83999999962</v>
      </c>
      <c r="E555" s="790">
        <f t="shared" si="50"/>
        <v>35751.016585365855</v>
      </c>
      <c r="F555" s="790">
        <f t="shared" si="44"/>
        <v>697144.82341463375</v>
      </c>
      <c r="G555" s="737">
        <f t="shared" si="49"/>
        <v>715020.33170731668</v>
      </c>
      <c r="H555" s="795">
        <f>+J529*G555+E555</f>
        <v>115328.22349361132</v>
      </c>
      <c r="I555" s="796">
        <f>+J530*G555+E555</f>
        <v>115328.22349361132</v>
      </c>
      <c r="J555" s="793">
        <f t="shared" si="51"/>
        <v>0</v>
      </c>
      <c r="K555" s="793"/>
      <c r="L555" s="813"/>
      <c r="M555" s="793">
        <f t="shared" si="45"/>
        <v>0</v>
      </c>
      <c r="N555" s="813"/>
      <c r="O555" s="793">
        <f t="shared" si="46"/>
        <v>0</v>
      </c>
      <c r="P555" s="793">
        <f t="shared" si="47"/>
        <v>0</v>
      </c>
    </row>
    <row r="556" spans="3:16">
      <c r="C556" s="789">
        <f>IF(D528="","-",+C555+1)</f>
        <v>2037</v>
      </c>
      <c r="D556" s="737">
        <f t="shared" si="48"/>
        <v>697144.82341463375</v>
      </c>
      <c r="E556" s="790">
        <f t="shared" si="50"/>
        <v>35751.016585365855</v>
      </c>
      <c r="F556" s="790">
        <f t="shared" si="44"/>
        <v>661393.80682926788</v>
      </c>
      <c r="G556" s="737">
        <f t="shared" si="49"/>
        <v>679269.31512195081</v>
      </c>
      <c r="H556" s="795">
        <f>+J529*G556+E556</f>
        <v>111349.36314819905</v>
      </c>
      <c r="I556" s="796">
        <f>+J530*G556+E556</f>
        <v>111349.36314819905</v>
      </c>
      <c r="J556" s="793">
        <f t="shared" si="51"/>
        <v>0</v>
      </c>
      <c r="K556" s="793"/>
      <c r="L556" s="813"/>
      <c r="M556" s="793">
        <f t="shared" si="45"/>
        <v>0</v>
      </c>
      <c r="N556" s="813"/>
      <c r="O556" s="793">
        <f t="shared" si="46"/>
        <v>0</v>
      </c>
      <c r="P556" s="793">
        <f t="shared" si="47"/>
        <v>0</v>
      </c>
    </row>
    <row r="557" spans="3:16">
      <c r="C557" s="789">
        <f>IF(D528="","-",+C556+1)</f>
        <v>2038</v>
      </c>
      <c r="D557" s="737">
        <f t="shared" si="48"/>
        <v>661393.80682926788</v>
      </c>
      <c r="E557" s="790">
        <f t="shared" si="50"/>
        <v>35751.016585365855</v>
      </c>
      <c r="F557" s="790">
        <f t="shared" si="44"/>
        <v>625642.79024390201</v>
      </c>
      <c r="G557" s="737">
        <f t="shared" si="49"/>
        <v>643518.29853658495</v>
      </c>
      <c r="H557" s="795">
        <f>+J529*G557+E557</f>
        <v>107370.50280278677</v>
      </c>
      <c r="I557" s="796">
        <f>+J530*G557+E557</f>
        <v>107370.50280278677</v>
      </c>
      <c r="J557" s="793">
        <f t="shared" si="51"/>
        <v>0</v>
      </c>
      <c r="K557" s="793"/>
      <c r="L557" s="813"/>
      <c r="M557" s="793">
        <f t="shared" si="45"/>
        <v>0</v>
      </c>
      <c r="N557" s="813"/>
      <c r="O557" s="793">
        <f t="shared" si="46"/>
        <v>0</v>
      </c>
      <c r="P557" s="793">
        <f t="shared" si="47"/>
        <v>0</v>
      </c>
    </row>
    <row r="558" spans="3:16">
      <c r="C558" s="789">
        <f>IF(D528="","-",+C557+1)</f>
        <v>2039</v>
      </c>
      <c r="D558" s="737">
        <f t="shared" si="48"/>
        <v>625642.79024390201</v>
      </c>
      <c r="E558" s="790">
        <f t="shared" si="50"/>
        <v>35751.016585365855</v>
      </c>
      <c r="F558" s="790">
        <f t="shared" si="44"/>
        <v>589891.77365853614</v>
      </c>
      <c r="G558" s="737">
        <f t="shared" si="49"/>
        <v>607767.28195121908</v>
      </c>
      <c r="H558" s="795">
        <f>+J529*G558+E558</f>
        <v>103391.64245737449</v>
      </c>
      <c r="I558" s="796">
        <f>+J530*G558+E558</f>
        <v>103391.64245737449</v>
      </c>
      <c r="J558" s="793">
        <f t="shared" si="51"/>
        <v>0</v>
      </c>
      <c r="K558" s="793"/>
      <c r="L558" s="813"/>
      <c r="M558" s="793">
        <f t="shared" si="45"/>
        <v>0</v>
      </c>
      <c r="N558" s="813"/>
      <c r="O558" s="793">
        <f t="shared" si="46"/>
        <v>0</v>
      </c>
      <c r="P558" s="793">
        <f t="shared" si="47"/>
        <v>0</v>
      </c>
    </row>
    <row r="559" spans="3:16">
      <c r="C559" s="789">
        <f>IF(D528="","-",+C558+1)</f>
        <v>2040</v>
      </c>
      <c r="D559" s="737">
        <f t="shared" si="48"/>
        <v>589891.77365853614</v>
      </c>
      <c r="E559" s="790">
        <f t="shared" si="50"/>
        <v>35751.016585365855</v>
      </c>
      <c r="F559" s="790">
        <f t="shared" si="44"/>
        <v>554140.75707317027</v>
      </c>
      <c r="G559" s="737">
        <f t="shared" si="49"/>
        <v>572016.26536585321</v>
      </c>
      <c r="H559" s="795">
        <f>+J529*G559+E559</f>
        <v>99412.782111962209</v>
      </c>
      <c r="I559" s="796">
        <f>+J530*G559+E559</f>
        <v>99412.782111962209</v>
      </c>
      <c r="J559" s="793">
        <f t="shared" si="51"/>
        <v>0</v>
      </c>
      <c r="K559" s="793"/>
      <c r="L559" s="813"/>
      <c r="M559" s="793">
        <f t="shared" si="45"/>
        <v>0</v>
      </c>
      <c r="N559" s="813"/>
      <c r="O559" s="793">
        <f t="shared" si="46"/>
        <v>0</v>
      </c>
      <c r="P559" s="793">
        <f t="shared" si="47"/>
        <v>0</v>
      </c>
    </row>
    <row r="560" spans="3:16">
      <c r="C560" s="789">
        <f>IF(D528="","-",+C559+1)</f>
        <v>2041</v>
      </c>
      <c r="D560" s="737">
        <f t="shared" si="48"/>
        <v>554140.75707317027</v>
      </c>
      <c r="E560" s="790">
        <f t="shared" si="50"/>
        <v>35751.016585365855</v>
      </c>
      <c r="F560" s="790">
        <f t="shared" si="44"/>
        <v>518389.7404878044</v>
      </c>
      <c r="G560" s="737">
        <f t="shared" si="49"/>
        <v>536265.24878048734</v>
      </c>
      <c r="H560" s="795">
        <f>+J529*G560+E560</f>
        <v>95433.921766549931</v>
      </c>
      <c r="I560" s="796">
        <f>+J530*G560+E560</f>
        <v>95433.921766549931</v>
      </c>
      <c r="J560" s="793">
        <f t="shared" si="51"/>
        <v>0</v>
      </c>
      <c r="K560" s="793"/>
      <c r="L560" s="813"/>
      <c r="M560" s="793">
        <f t="shared" si="45"/>
        <v>0</v>
      </c>
      <c r="N560" s="813"/>
      <c r="O560" s="793">
        <f t="shared" si="46"/>
        <v>0</v>
      </c>
      <c r="P560" s="793">
        <f t="shared" si="47"/>
        <v>0</v>
      </c>
    </row>
    <row r="561" spans="3:16">
      <c r="C561" s="789">
        <f>IF(D528="","-",+C560+1)</f>
        <v>2042</v>
      </c>
      <c r="D561" s="737">
        <f t="shared" si="48"/>
        <v>518389.7404878044</v>
      </c>
      <c r="E561" s="790">
        <f t="shared" si="50"/>
        <v>35751.016585365855</v>
      </c>
      <c r="F561" s="790">
        <f t="shared" si="44"/>
        <v>482638.72390243853</v>
      </c>
      <c r="G561" s="737">
        <f t="shared" si="49"/>
        <v>500514.23219512147</v>
      </c>
      <c r="H561" s="795">
        <f>+J529*G561+E561</f>
        <v>91455.061421137652</v>
      </c>
      <c r="I561" s="796">
        <f>+J530*G561+E561</f>
        <v>91455.061421137652</v>
      </c>
      <c r="J561" s="793">
        <f t="shared" si="51"/>
        <v>0</v>
      </c>
      <c r="K561" s="793"/>
      <c r="L561" s="813"/>
      <c r="M561" s="793">
        <f t="shared" si="45"/>
        <v>0</v>
      </c>
      <c r="N561" s="813"/>
      <c r="O561" s="793">
        <f t="shared" si="46"/>
        <v>0</v>
      </c>
      <c r="P561" s="793">
        <f t="shared" si="47"/>
        <v>0</v>
      </c>
    </row>
    <row r="562" spans="3:16">
      <c r="C562" s="789">
        <f>IF(D528="","-",+C561+1)</f>
        <v>2043</v>
      </c>
      <c r="D562" s="737">
        <f t="shared" si="48"/>
        <v>482638.72390243853</v>
      </c>
      <c r="E562" s="790">
        <f t="shared" si="50"/>
        <v>35751.016585365855</v>
      </c>
      <c r="F562" s="790">
        <f t="shared" si="44"/>
        <v>446887.70731707267</v>
      </c>
      <c r="G562" s="737">
        <f t="shared" si="49"/>
        <v>464763.2156097556</v>
      </c>
      <c r="H562" s="795">
        <f>+J529*G562+E562</f>
        <v>87476.201075725374</v>
      </c>
      <c r="I562" s="796">
        <f>+J530*G562+E562</f>
        <v>87476.201075725374</v>
      </c>
      <c r="J562" s="793">
        <f t="shared" si="51"/>
        <v>0</v>
      </c>
      <c r="K562" s="793"/>
      <c r="L562" s="813"/>
      <c r="M562" s="793">
        <f t="shared" si="45"/>
        <v>0</v>
      </c>
      <c r="N562" s="813"/>
      <c r="O562" s="793">
        <f t="shared" si="46"/>
        <v>0</v>
      </c>
      <c r="P562" s="793">
        <f t="shared" si="47"/>
        <v>0</v>
      </c>
    </row>
    <row r="563" spans="3:16">
      <c r="C563" s="789">
        <f>IF(D528="","-",+C562+1)</f>
        <v>2044</v>
      </c>
      <c r="D563" s="737">
        <f t="shared" si="48"/>
        <v>446887.70731707267</v>
      </c>
      <c r="E563" s="790">
        <f t="shared" si="50"/>
        <v>35751.016585365855</v>
      </c>
      <c r="F563" s="790">
        <f t="shared" si="44"/>
        <v>411136.6907317068</v>
      </c>
      <c r="G563" s="737">
        <f t="shared" si="49"/>
        <v>429012.19902438973</v>
      </c>
      <c r="H563" s="795">
        <f>+J529*G563+E563</f>
        <v>83497.340730313095</v>
      </c>
      <c r="I563" s="796">
        <f>+J530*G563+E563</f>
        <v>83497.340730313095</v>
      </c>
      <c r="J563" s="793">
        <f t="shared" si="51"/>
        <v>0</v>
      </c>
      <c r="K563" s="793"/>
      <c r="L563" s="813"/>
      <c r="M563" s="793">
        <f t="shared" si="45"/>
        <v>0</v>
      </c>
      <c r="N563" s="813"/>
      <c r="O563" s="793">
        <f t="shared" si="46"/>
        <v>0</v>
      </c>
      <c r="P563" s="793">
        <f t="shared" si="47"/>
        <v>0</v>
      </c>
    </row>
    <row r="564" spans="3:16">
      <c r="C564" s="789">
        <f>IF(D528="","-",+C563+1)</f>
        <v>2045</v>
      </c>
      <c r="D564" s="737">
        <f t="shared" si="48"/>
        <v>411136.6907317068</v>
      </c>
      <c r="E564" s="790">
        <f t="shared" si="50"/>
        <v>35751.016585365855</v>
      </c>
      <c r="F564" s="790">
        <f t="shared" si="44"/>
        <v>375385.67414634093</v>
      </c>
      <c r="G564" s="737">
        <f t="shared" si="49"/>
        <v>393261.18243902386</v>
      </c>
      <c r="H564" s="795">
        <f>+J529*G564+E564</f>
        <v>79518.480384900817</v>
      </c>
      <c r="I564" s="796">
        <f>+J530*G564+E564</f>
        <v>79518.480384900817</v>
      </c>
      <c r="J564" s="793">
        <f t="shared" si="51"/>
        <v>0</v>
      </c>
      <c r="K564" s="793"/>
      <c r="L564" s="813"/>
      <c r="M564" s="793">
        <f t="shared" si="45"/>
        <v>0</v>
      </c>
      <c r="N564" s="813"/>
      <c r="O564" s="793">
        <f t="shared" si="46"/>
        <v>0</v>
      </c>
      <c r="P564" s="793">
        <f t="shared" si="47"/>
        <v>0</v>
      </c>
    </row>
    <row r="565" spans="3:16">
      <c r="C565" s="789">
        <f>IF(D528="","-",+C564+1)</f>
        <v>2046</v>
      </c>
      <c r="D565" s="737">
        <f t="shared" si="48"/>
        <v>375385.67414634093</v>
      </c>
      <c r="E565" s="790">
        <f t="shared" si="50"/>
        <v>35751.016585365855</v>
      </c>
      <c r="F565" s="790">
        <f t="shared" si="44"/>
        <v>339634.65756097506</v>
      </c>
      <c r="G565" s="737">
        <f t="shared" si="49"/>
        <v>357510.16585365799</v>
      </c>
      <c r="H565" s="795">
        <f>+J529*G565+E565</f>
        <v>75539.620039488538</v>
      </c>
      <c r="I565" s="796">
        <f>+J530*G565+E565</f>
        <v>75539.620039488538</v>
      </c>
      <c r="J565" s="793">
        <f t="shared" si="51"/>
        <v>0</v>
      </c>
      <c r="K565" s="793"/>
      <c r="L565" s="813"/>
      <c r="M565" s="793">
        <f t="shared" si="45"/>
        <v>0</v>
      </c>
      <c r="N565" s="813"/>
      <c r="O565" s="793">
        <f t="shared" si="46"/>
        <v>0</v>
      </c>
      <c r="P565" s="793">
        <f t="shared" si="47"/>
        <v>0</v>
      </c>
    </row>
    <row r="566" spans="3:16">
      <c r="C566" s="789">
        <f>IF(D528="","-",+C565+1)</f>
        <v>2047</v>
      </c>
      <c r="D566" s="737">
        <f t="shared" si="48"/>
        <v>339634.65756097506</v>
      </c>
      <c r="E566" s="790">
        <f t="shared" si="50"/>
        <v>35751.016585365855</v>
      </c>
      <c r="F566" s="790">
        <f t="shared" si="44"/>
        <v>303883.64097560919</v>
      </c>
      <c r="G566" s="737">
        <f t="shared" si="49"/>
        <v>321759.14926829212</v>
      </c>
      <c r="H566" s="795">
        <f>+J529*G566+E566</f>
        <v>71560.759694076274</v>
      </c>
      <c r="I566" s="796">
        <f>+J530*G566+E566</f>
        <v>71560.759694076274</v>
      </c>
      <c r="J566" s="793">
        <f t="shared" si="51"/>
        <v>0</v>
      </c>
      <c r="K566" s="793"/>
      <c r="L566" s="813"/>
      <c r="M566" s="793">
        <f t="shared" si="45"/>
        <v>0</v>
      </c>
      <c r="N566" s="813"/>
      <c r="O566" s="793">
        <f t="shared" si="46"/>
        <v>0</v>
      </c>
      <c r="P566" s="793">
        <f t="shared" si="47"/>
        <v>0</v>
      </c>
    </row>
    <row r="567" spans="3:16">
      <c r="C567" s="789">
        <f>IF(D528="","-",+C566+1)</f>
        <v>2048</v>
      </c>
      <c r="D567" s="737">
        <f t="shared" si="48"/>
        <v>303883.64097560919</v>
      </c>
      <c r="E567" s="790">
        <f t="shared" si="50"/>
        <v>35751.016585365855</v>
      </c>
      <c r="F567" s="790">
        <f t="shared" si="44"/>
        <v>268132.62439024332</v>
      </c>
      <c r="G567" s="737">
        <f t="shared" si="49"/>
        <v>286008.13268292625</v>
      </c>
      <c r="H567" s="795">
        <f>+J529*G567+E567</f>
        <v>67581.899348663996</v>
      </c>
      <c r="I567" s="796">
        <f>+J530*G567+E567</f>
        <v>67581.899348663996</v>
      </c>
      <c r="J567" s="793">
        <f t="shared" si="51"/>
        <v>0</v>
      </c>
      <c r="K567" s="793"/>
      <c r="L567" s="813"/>
      <c r="M567" s="793">
        <f t="shared" si="45"/>
        <v>0</v>
      </c>
      <c r="N567" s="813"/>
      <c r="O567" s="793">
        <f t="shared" si="46"/>
        <v>0</v>
      </c>
      <c r="P567" s="793">
        <f t="shared" si="47"/>
        <v>0</v>
      </c>
    </row>
    <row r="568" spans="3:16">
      <c r="C568" s="789">
        <f>IF(D528="","-",+C567+1)</f>
        <v>2049</v>
      </c>
      <c r="D568" s="737">
        <f t="shared" si="48"/>
        <v>268132.62439024332</v>
      </c>
      <c r="E568" s="790">
        <f t="shared" si="50"/>
        <v>35751.016585365855</v>
      </c>
      <c r="F568" s="790">
        <f t="shared" si="44"/>
        <v>232381.60780487745</v>
      </c>
      <c r="G568" s="737">
        <f t="shared" si="49"/>
        <v>250257.11609756039</v>
      </c>
      <c r="H568" s="795">
        <f>+J529*G568+E568</f>
        <v>63603.039003251717</v>
      </c>
      <c r="I568" s="796">
        <f>+J530*G568+E568</f>
        <v>63603.039003251717</v>
      </c>
      <c r="J568" s="793">
        <f t="shared" si="51"/>
        <v>0</v>
      </c>
      <c r="K568" s="793"/>
      <c r="L568" s="813"/>
      <c r="M568" s="793">
        <f t="shared" si="45"/>
        <v>0</v>
      </c>
      <c r="N568" s="813"/>
      <c r="O568" s="793">
        <f t="shared" si="46"/>
        <v>0</v>
      </c>
      <c r="P568" s="793">
        <f t="shared" si="47"/>
        <v>0</v>
      </c>
    </row>
    <row r="569" spans="3:16">
      <c r="C569" s="789">
        <f>IF(D528="","-",+C568+1)</f>
        <v>2050</v>
      </c>
      <c r="D569" s="737">
        <f t="shared" si="48"/>
        <v>232381.60780487745</v>
      </c>
      <c r="E569" s="790">
        <f t="shared" si="50"/>
        <v>35751.016585365855</v>
      </c>
      <c r="F569" s="790">
        <f t="shared" si="44"/>
        <v>196630.59121951158</v>
      </c>
      <c r="G569" s="737">
        <f t="shared" si="49"/>
        <v>214506.09951219452</v>
      </c>
      <c r="H569" s="795">
        <f>+J529*G569+E569</f>
        <v>59624.178657839439</v>
      </c>
      <c r="I569" s="796">
        <f>+J530*G569+E569</f>
        <v>59624.178657839439</v>
      </c>
      <c r="J569" s="793">
        <f t="shared" si="51"/>
        <v>0</v>
      </c>
      <c r="K569" s="793"/>
      <c r="L569" s="813"/>
      <c r="M569" s="793">
        <f t="shared" si="45"/>
        <v>0</v>
      </c>
      <c r="N569" s="813"/>
      <c r="O569" s="793">
        <f t="shared" si="46"/>
        <v>0</v>
      </c>
      <c r="P569" s="793">
        <f t="shared" si="47"/>
        <v>0</v>
      </c>
    </row>
    <row r="570" spans="3:16">
      <c r="C570" s="789">
        <f>IF(D528="","-",+C569+1)</f>
        <v>2051</v>
      </c>
      <c r="D570" s="737">
        <f t="shared" si="48"/>
        <v>196630.59121951158</v>
      </c>
      <c r="E570" s="790">
        <f t="shared" si="50"/>
        <v>35751.016585365855</v>
      </c>
      <c r="F570" s="790">
        <f t="shared" si="44"/>
        <v>160879.57463414571</v>
      </c>
      <c r="G570" s="737">
        <f t="shared" si="49"/>
        <v>178755.08292682865</v>
      </c>
      <c r="H570" s="795">
        <f>+J529*G570+E570</f>
        <v>55645.31831242716</v>
      </c>
      <c r="I570" s="796">
        <f>+J530*G570+E570</f>
        <v>55645.31831242716</v>
      </c>
      <c r="J570" s="793">
        <f t="shared" si="51"/>
        <v>0</v>
      </c>
      <c r="K570" s="793"/>
      <c r="L570" s="813"/>
      <c r="M570" s="793">
        <f t="shared" si="45"/>
        <v>0</v>
      </c>
      <c r="N570" s="813"/>
      <c r="O570" s="793">
        <f t="shared" si="46"/>
        <v>0</v>
      </c>
      <c r="P570" s="793">
        <f t="shared" si="47"/>
        <v>0</v>
      </c>
    </row>
    <row r="571" spans="3:16">
      <c r="C571" s="789">
        <f>IF(D528="","-",+C570+1)</f>
        <v>2052</v>
      </c>
      <c r="D571" s="737">
        <f t="shared" si="48"/>
        <v>160879.57463414571</v>
      </c>
      <c r="E571" s="790">
        <f t="shared" si="50"/>
        <v>35751.016585365855</v>
      </c>
      <c r="F571" s="790">
        <f t="shared" si="44"/>
        <v>125128.55804877986</v>
      </c>
      <c r="G571" s="737">
        <f t="shared" si="49"/>
        <v>143004.06634146278</v>
      </c>
      <c r="H571" s="795">
        <f>+J529*G571+E571</f>
        <v>51666.457967014881</v>
      </c>
      <c r="I571" s="796">
        <f>+J530*G571+E571</f>
        <v>51666.457967014881</v>
      </c>
      <c r="J571" s="793">
        <f t="shared" si="51"/>
        <v>0</v>
      </c>
      <c r="K571" s="793"/>
      <c r="L571" s="813"/>
      <c r="M571" s="793">
        <f t="shared" si="45"/>
        <v>0</v>
      </c>
      <c r="N571" s="813"/>
      <c r="O571" s="793">
        <f t="shared" si="46"/>
        <v>0</v>
      </c>
      <c r="P571" s="793">
        <f t="shared" si="47"/>
        <v>0</v>
      </c>
    </row>
    <row r="572" spans="3:16">
      <c r="C572" s="789">
        <f>IF(D528="","-",+C571+1)</f>
        <v>2053</v>
      </c>
      <c r="D572" s="737">
        <f t="shared" si="48"/>
        <v>125128.55804877986</v>
      </c>
      <c r="E572" s="790">
        <f t="shared" si="50"/>
        <v>35751.016585365855</v>
      </c>
      <c r="F572" s="790">
        <f t="shared" si="44"/>
        <v>89377.541463414003</v>
      </c>
      <c r="G572" s="737">
        <f t="shared" si="49"/>
        <v>107253.04975609694</v>
      </c>
      <c r="H572" s="795">
        <f>+J529*G572+E572</f>
        <v>47687.59762160261</v>
      </c>
      <c r="I572" s="796">
        <f>+J530*G572+E572</f>
        <v>47687.59762160261</v>
      </c>
      <c r="J572" s="793">
        <f t="shared" si="51"/>
        <v>0</v>
      </c>
      <c r="K572" s="793"/>
      <c r="L572" s="813"/>
      <c r="M572" s="793">
        <f t="shared" si="45"/>
        <v>0</v>
      </c>
      <c r="N572" s="813"/>
      <c r="O572" s="793">
        <f t="shared" si="46"/>
        <v>0</v>
      </c>
      <c r="P572" s="793">
        <f t="shared" si="47"/>
        <v>0</v>
      </c>
    </row>
    <row r="573" spans="3:16">
      <c r="C573" s="789">
        <f>IF(D528="","-",+C572+1)</f>
        <v>2054</v>
      </c>
      <c r="D573" s="737">
        <f t="shared" si="48"/>
        <v>89377.541463414003</v>
      </c>
      <c r="E573" s="790">
        <f t="shared" si="50"/>
        <v>35751.016585365855</v>
      </c>
      <c r="F573" s="790">
        <f t="shared" si="44"/>
        <v>53626.524878048149</v>
      </c>
      <c r="G573" s="737">
        <f t="shared" si="49"/>
        <v>71502.033170731069</v>
      </c>
      <c r="H573" s="795">
        <f>+J529*G573+E573</f>
        <v>43708.737276190332</v>
      </c>
      <c r="I573" s="796">
        <f>+J530*G573+E573</f>
        <v>43708.737276190332</v>
      </c>
      <c r="J573" s="793">
        <f t="shared" si="51"/>
        <v>0</v>
      </c>
      <c r="K573" s="793"/>
      <c r="L573" s="813"/>
      <c r="M573" s="793">
        <f t="shared" si="45"/>
        <v>0</v>
      </c>
      <c r="N573" s="813"/>
      <c r="O573" s="793">
        <f t="shared" si="46"/>
        <v>0</v>
      </c>
      <c r="P573" s="793">
        <f t="shared" si="47"/>
        <v>0</v>
      </c>
    </row>
    <row r="574" spans="3:16">
      <c r="C574" s="789">
        <f>IF(D528="","-",+C573+1)</f>
        <v>2055</v>
      </c>
      <c r="D574" s="737">
        <f t="shared" si="48"/>
        <v>53626.524878048149</v>
      </c>
      <c r="E574" s="790">
        <f t="shared" si="50"/>
        <v>35751.016585365855</v>
      </c>
      <c r="F574" s="790">
        <f t="shared" si="44"/>
        <v>17875.508292682294</v>
      </c>
      <c r="G574" s="737">
        <f t="shared" si="49"/>
        <v>35751.016585365222</v>
      </c>
      <c r="H574" s="795">
        <f>+J529*G574+E574</f>
        <v>39729.87693077806</v>
      </c>
      <c r="I574" s="796">
        <f>+J530*G574+E574</f>
        <v>39729.87693077806</v>
      </c>
      <c r="J574" s="793">
        <f t="shared" si="51"/>
        <v>0</v>
      </c>
      <c r="K574" s="793"/>
      <c r="L574" s="813"/>
      <c r="M574" s="793">
        <f t="shared" si="45"/>
        <v>0</v>
      </c>
      <c r="N574" s="813"/>
      <c r="O574" s="793">
        <f t="shared" si="46"/>
        <v>0</v>
      </c>
      <c r="P574" s="793">
        <f t="shared" si="47"/>
        <v>0</v>
      </c>
    </row>
    <row r="575" spans="3:16">
      <c r="C575" s="789">
        <f>IF(D528="","-",+C574+1)</f>
        <v>2056</v>
      </c>
      <c r="D575" s="737">
        <f t="shared" si="48"/>
        <v>17875.508292682294</v>
      </c>
      <c r="E575" s="790">
        <f t="shared" si="50"/>
        <v>17875.508292682294</v>
      </c>
      <c r="F575" s="790">
        <f t="shared" si="44"/>
        <v>0</v>
      </c>
      <c r="G575" s="737">
        <f t="shared" si="49"/>
        <v>8937.7541463411471</v>
      </c>
      <c r="H575" s="795">
        <f>+J529*G575+E575</f>
        <v>18870.223379035328</v>
      </c>
      <c r="I575" s="796">
        <f>+J530*G575+E575</f>
        <v>18870.223379035328</v>
      </c>
      <c r="J575" s="793">
        <f t="shared" si="51"/>
        <v>0</v>
      </c>
      <c r="K575" s="793"/>
      <c r="L575" s="813"/>
      <c r="M575" s="793">
        <f t="shared" si="45"/>
        <v>0</v>
      </c>
      <c r="N575" s="813"/>
      <c r="O575" s="793">
        <f t="shared" si="46"/>
        <v>0</v>
      </c>
      <c r="P575" s="793">
        <f t="shared" si="47"/>
        <v>0</v>
      </c>
    </row>
    <row r="576" spans="3:16">
      <c r="C576" s="789">
        <f>IF(D528="","-",+C575+1)</f>
        <v>2057</v>
      </c>
      <c r="D576" s="737">
        <f t="shared" si="48"/>
        <v>0</v>
      </c>
      <c r="E576" s="790">
        <f t="shared" si="50"/>
        <v>0</v>
      </c>
      <c r="F576" s="790">
        <f t="shared" si="44"/>
        <v>0</v>
      </c>
      <c r="G576" s="737">
        <f t="shared" si="49"/>
        <v>0</v>
      </c>
      <c r="H576" s="795">
        <f>+J529*G576+E576</f>
        <v>0</v>
      </c>
      <c r="I576" s="796">
        <f>+J530*G576+E576</f>
        <v>0</v>
      </c>
      <c r="J576" s="793">
        <f t="shared" si="51"/>
        <v>0</v>
      </c>
      <c r="K576" s="793"/>
      <c r="L576" s="813"/>
      <c r="M576" s="793">
        <f t="shared" si="45"/>
        <v>0</v>
      </c>
      <c r="N576" s="813"/>
      <c r="O576" s="793">
        <f t="shared" si="46"/>
        <v>0</v>
      </c>
      <c r="P576" s="793">
        <f t="shared" si="47"/>
        <v>0</v>
      </c>
    </row>
    <row r="577" spans="3:16">
      <c r="C577" s="789">
        <f>IF(D528="","-",+C576+1)</f>
        <v>2058</v>
      </c>
      <c r="D577" s="737">
        <f t="shared" si="48"/>
        <v>0</v>
      </c>
      <c r="E577" s="790">
        <f t="shared" si="50"/>
        <v>0</v>
      </c>
      <c r="F577" s="790">
        <f t="shared" si="44"/>
        <v>0</v>
      </c>
      <c r="G577" s="737">
        <f t="shared" si="49"/>
        <v>0</v>
      </c>
      <c r="H577" s="795">
        <f>+J529*G577+E577</f>
        <v>0</v>
      </c>
      <c r="I577" s="796">
        <f>+J530*G577+E577</f>
        <v>0</v>
      </c>
      <c r="J577" s="793">
        <f t="shared" si="51"/>
        <v>0</v>
      </c>
      <c r="K577" s="793"/>
      <c r="L577" s="813"/>
      <c r="M577" s="793">
        <f t="shared" si="45"/>
        <v>0</v>
      </c>
      <c r="N577" s="813"/>
      <c r="O577" s="793">
        <f t="shared" si="46"/>
        <v>0</v>
      </c>
      <c r="P577" s="793">
        <f t="shared" si="47"/>
        <v>0</v>
      </c>
    </row>
    <row r="578" spans="3:16">
      <c r="C578" s="789">
        <f>IF(D528="","-",+C577+1)</f>
        <v>2059</v>
      </c>
      <c r="D578" s="737">
        <f t="shared" si="48"/>
        <v>0</v>
      </c>
      <c r="E578" s="790">
        <f t="shared" si="50"/>
        <v>0</v>
      </c>
      <c r="F578" s="790">
        <f t="shared" si="44"/>
        <v>0</v>
      </c>
      <c r="G578" s="737">
        <f t="shared" si="49"/>
        <v>0</v>
      </c>
      <c r="H578" s="795">
        <f>+J529*G578+E578</f>
        <v>0</v>
      </c>
      <c r="I578" s="796">
        <f>+J530*G578+E578</f>
        <v>0</v>
      </c>
      <c r="J578" s="793">
        <f t="shared" si="51"/>
        <v>0</v>
      </c>
      <c r="K578" s="793"/>
      <c r="L578" s="813"/>
      <c r="M578" s="793">
        <f t="shared" si="45"/>
        <v>0</v>
      </c>
      <c r="N578" s="813"/>
      <c r="O578" s="793">
        <f t="shared" si="46"/>
        <v>0</v>
      </c>
      <c r="P578" s="793">
        <f t="shared" si="47"/>
        <v>0</v>
      </c>
    </row>
    <row r="579" spans="3:16">
      <c r="C579" s="789">
        <f>IF(D528="","-",+C578+1)</f>
        <v>2060</v>
      </c>
      <c r="D579" s="737">
        <f t="shared" si="48"/>
        <v>0</v>
      </c>
      <c r="E579" s="790">
        <f t="shared" si="50"/>
        <v>0</v>
      </c>
      <c r="F579" s="790">
        <f t="shared" si="44"/>
        <v>0</v>
      </c>
      <c r="G579" s="737">
        <f t="shared" si="49"/>
        <v>0</v>
      </c>
      <c r="H579" s="795">
        <f>+J529*G579+E579</f>
        <v>0</v>
      </c>
      <c r="I579" s="796">
        <f>+J530*G579+E579</f>
        <v>0</v>
      </c>
      <c r="J579" s="793">
        <f t="shared" si="51"/>
        <v>0</v>
      </c>
      <c r="K579" s="793"/>
      <c r="L579" s="813"/>
      <c r="M579" s="793">
        <f t="shared" si="45"/>
        <v>0</v>
      </c>
      <c r="N579" s="813"/>
      <c r="O579" s="793">
        <f t="shared" si="46"/>
        <v>0</v>
      </c>
      <c r="P579" s="793">
        <f t="shared" si="47"/>
        <v>0</v>
      </c>
    </row>
    <row r="580" spans="3:16">
      <c r="C580" s="789">
        <f>IF(D528="","-",+C579+1)</f>
        <v>2061</v>
      </c>
      <c r="D580" s="737">
        <f t="shared" si="48"/>
        <v>0</v>
      </c>
      <c r="E580" s="790">
        <f t="shared" si="50"/>
        <v>0</v>
      </c>
      <c r="F580" s="790">
        <f t="shared" si="44"/>
        <v>0</v>
      </c>
      <c r="G580" s="737">
        <f t="shared" si="49"/>
        <v>0</v>
      </c>
      <c r="H580" s="795">
        <f>+J529*G580+E580</f>
        <v>0</v>
      </c>
      <c r="I580" s="796">
        <f>+J530*G580+E580</f>
        <v>0</v>
      </c>
      <c r="J580" s="793">
        <f t="shared" si="51"/>
        <v>0</v>
      </c>
      <c r="K580" s="793"/>
      <c r="L580" s="813"/>
      <c r="M580" s="793">
        <f t="shared" si="45"/>
        <v>0</v>
      </c>
      <c r="N580" s="813"/>
      <c r="O580" s="793">
        <f t="shared" si="46"/>
        <v>0</v>
      </c>
      <c r="P580" s="793">
        <f t="shared" si="47"/>
        <v>0</v>
      </c>
    </row>
    <row r="581" spans="3:16">
      <c r="C581" s="789">
        <f>IF(D528="","-",+C580+1)</f>
        <v>2062</v>
      </c>
      <c r="D581" s="737">
        <f t="shared" si="48"/>
        <v>0</v>
      </c>
      <c r="E581" s="790">
        <f t="shared" si="50"/>
        <v>0</v>
      </c>
      <c r="F581" s="790">
        <f t="shared" si="44"/>
        <v>0</v>
      </c>
      <c r="G581" s="737">
        <f t="shared" si="49"/>
        <v>0</v>
      </c>
      <c r="H581" s="795">
        <f>+J529*G581+E581</f>
        <v>0</v>
      </c>
      <c r="I581" s="796">
        <f>+J530*G581+E581</f>
        <v>0</v>
      </c>
      <c r="J581" s="793">
        <f t="shared" si="51"/>
        <v>0</v>
      </c>
      <c r="K581" s="793"/>
      <c r="L581" s="813"/>
      <c r="M581" s="793">
        <f t="shared" si="45"/>
        <v>0</v>
      </c>
      <c r="N581" s="813"/>
      <c r="O581" s="793">
        <f t="shared" si="46"/>
        <v>0</v>
      </c>
      <c r="P581" s="793">
        <f t="shared" si="47"/>
        <v>0</v>
      </c>
    </row>
    <row r="582" spans="3:16">
      <c r="C582" s="789">
        <f>IF(D528="","-",+C581+1)</f>
        <v>2063</v>
      </c>
      <c r="D582" s="737">
        <f t="shared" si="48"/>
        <v>0</v>
      </c>
      <c r="E582" s="790">
        <f t="shared" si="50"/>
        <v>0</v>
      </c>
      <c r="F582" s="790">
        <f t="shared" si="44"/>
        <v>0</v>
      </c>
      <c r="G582" s="737">
        <f t="shared" si="49"/>
        <v>0</v>
      </c>
      <c r="H582" s="795">
        <f>+J529*G582+E582</f>
        <v>0</v>
      </c>
      <c r="I582" s="796">
        <f>+J530*G582+E582</f>
        <v>0</v>
      </c>
      <c r="J582" s="793">
        <f t="shared" si="51"/>
        <v>0</v>
      </c>
      <c r="K582" s="793"/>
      <c r="L582" s="813"/>
      <c r="M582" s="793">
        <f t="shared" si="45"/>
        <v>0</v>
      </c>
      <c r="N582" s="813"/>
      <c r="O582" s="793">
        <f t="shared" si="46"/>
        <v>0</v>
      </c>
      <c r="P582" s="793">
        <f t="shared" si="47"/>
        <v>0</v>
      </c>
    </row>
    <row r="583" spans="3:16">
      <c r="C583" s="789">
        <f>IF(D528="","-",+C582+1)</f>
        <v>2064</v>
      </c>
      <c r="D583" s="737">
        <f t="shared" si="48"/>
        <v>0</v>
      </c>
      <c r="E583" s="790">
        <f t="shared" si="50"/>
        <v>0</v>
      </c>
      <c r="F583" s="790">
        <f t="shared" si="44"/>
        <v>0</v>
      </c>
      <c r="G583" s="737">
        <f t="shared" si="49"/>
        <v>0</v>
      </c>
      <c r="H583" s="795">
        <f>+J529*G583+E583</f>
        <v>0</v>
      </c>
      <c r="I583" s="796">
        <f>+J530*G583+E583</f>
        <v>0</v>
      </c>
      <c r="J583" s="793">
        <f t="shared" si="51"/>
        <v>0</v>
      </c>
      <c r="K583" s="793"/>
      <c r="L583" s="813"/>
      <c r="M583" s="793">
        <f t="shared" si="45"/>
        <v>0</v>
      </c>
      <c r="N583" s="813"/>
      <c r="O583" s="793">
        <f t="shared" si="46"/>
        <v>0</v>
      </c>
      <c r="P583" s="793">
        <f t="shared" si="47"/>
        <v>0</v>
      </c>
    </row>
    <row r="584" spans="3:16">
      <c r="C584" s="789">
        <f>IF(D528="","-",+C583+1)</f>
        <v>2065</v>
      </c>
      <c r="D584" s="737">
        <f t="shared" si="48"/>
        <v>0</v>
      </c>
      <c r="E584" s="790">
        <f t="shared" si="50"/>
        <v>0</v>
      </c>
      <c r="F584" s="790">
        <f t="shared" si="44"/>
        <v>0</v>
      </c>
      <c r="G584" s="737">
        <f t="shared" si="49"/>
        <v>0</v>
      </c>
      <c r="H584" s="795">
        <f>+J529*G584+E584</f>
        <v>0</v>
      </c>
      <c r="I584" s="796">
        <f>+J530*G584+E584</f>
        <v>0</v>
      </c>
      <c r="J584" s="793">
        <f t="shared" si="51"/>
        <v>0</v>
      </c>
      <c r="K584" s="793"/>
      <c r="L584" s="813"/>
      <c r="M584" s="793">
        <f t="shared" si="45"/>
        <v>0</v>
      </c>
      <c r="N584" s="813"/>
      <c r="O584" s="793">
        <f t="shared" si="46"/>
        <v>0</v>
      </c>
      <c r="P584" s="793">
        <f t="shared" si="47"/>
        <v>0</v>
      </c>
    </row>
    <row r="585" spans="3:16">
      <c r="C585" s="789">
        <f>IF(D528="","-",+C584+1)</f>
        <v>2066</v>
      </c>
      <c r="D585" s="737">
        <f t="shared" si="48"/>
        <v>0</v>
      </c>
      <c r="E585" s="790">
        <f t="shared" si="50"/>
        <v>0</v>
      </c>
      <c r="F585" s="790">
        <f t="shared" si="44"/>
        <v>0</v>
      </c>
      <c r="G585" s="737">
        <f t="shared" si="49"/>
        <v>0</v>
      </c>
      <c r="H585" s="795">
        <f>+J529*G585+E585</f>
        <v>0</v>
      </c>
      <c r="I585" s="796">
        <f>+J530*G585+E585</f>
        <v>0</v>
      </c>
      <c r="J585" s="793">
        <f t="shared" si="51"/>
        <v>0</v>
      </c>
      <c r="K585" s="793"/>
      <c r="L585" s="813"/>
      <c r="M585" s="793">
        <f t="shared" si="45"/>
        <v>0</v>
      </c>
      <c r="N585" s="813"/>
      <c r="O585" s="793">
        <f t="shared" si="46"/>
        <v>0</v>
      </c>
      <c r="P585" s="793">
        <f t="shared" si="47"/>
        <v>0</v>
      </c>
    </row>
    <row r="586" spans="3:16">
      <c r="C586" s="789">
        <f>IF(D528="","-",+C585+1)</f>
        <v>2067</v>
      </c>
      <c r="D586" s="737">
        <f t="shared" si="48"/>
        <v>0</v>
      </c>
      <c r="E586" s="790">
        <f t="shared" si="50"/>
        <v>0</v>
      </c>
      <c r="F586" s="790">
        <f t="shared" si="44"/>
        <v>0</v>
      </c>
      <c r="G586" s="737">
        <f t="shared" si="49"/>
        <v>0</v>
      </c>
      <c r="H586" s="795">
        <f>+J529*G586+E586</f>
        <v>0</v>
      </c>
      <c r="I586" s="796">
        <f>+J530*G586+E586</f>
        <v>0</v>
      </c>
      <c r="J586" s="793">
        <f t="shared" si="51"/>
        <v>0</v>
      </c>
      <c r="K586" s="793"/>
      <c r="L586" s="813"/>
      <c r="M586" s="793">
        <f t="shared" si="45"/>
        <v>0</v>
      </c>
      <c r="N586" s="813"/>
      <c r="O586" s="793">
        <f t="shared" si="46"/>
        <v>0</v>
      </c>
      <c r="P586" s="793">
        <f t="shared" si="47"/>
        <v>0</v>
      </c>
    </row>
    <row r="587" spans="3:16">
      <c r="C587" s="789">
        <f>IF(D528="","-",+C586+1)</f>
        <v>2068</v>
      </c>
      <c r="D587" s="737">
        <f t="shared" si="48"/>
        <v>0</v>
      </c>
      <c r="E587" s="790">
        <f t="shared" si="50"/>
        <v>0</v>
      </c>
      <c r="F587" s="790">
        <f t="shared" si="44"/>
        <v>0</v>
      </c>
      <c r="G587" s="737">
        <f t="shared" si="49"/>
        <v>0</v>
      </c>
      <c r="H587" s="795">
        <f>+J529*G587+E587</f>
        <v>0</v>
      </c>
      <c r="I587" s="796">
        <f>+J530*G587+E587</f>
        <v>0</v>
      </c>
      <c r="J587" s="793">
        <f t="shared" si="51"/>
        <v>0</v>
      </c>
      <c r="K587" s="793"/>
      <c r="L587" s="813"/>
      <c r="M587" s="793">
        <f t="shared" si="45"/>
        <v>0</v>
      </c>
      <c r="N587" s="813"/>
      <c r="O587" s="793">
        <f t="shared" si="46"/>
        <v>0</v>
      </c>
      <c r="P587" s="793">
        <f t="shared" si="47"/>
        <v>0</v>
      </c>
    </row>
    <row r="588" spans="3:16">
      <c r="C588" s="789">
        <f>IF(D528="","-",+C587+1)</f>
        <v>2069</v>
      </c>
      <c r="D588" s="737">
        <f t="shared" ref="D588:D593" si="52">F587</f>
        <v>0</v>
      </c>
      <c r="E588" s="790">
        <f t="shared" si="50"/>
        <v>0</v>
      </c>
      <c r="F588" s="790">
        <f t="shared" si="44"/>
        <v>0</v>
      </c>
      <c r="G588" s="737">
        <f t="shared" si="49"/>
        <v>0</v>
      </c>
      <c r="H588" s="795">
        <f>+J529*G588+E588</f>
        <v>0</v>
      </c>
      <c r="I588" s="796">
        <f>+J530*G588+E588</f>
        <v>0</v>
      </c>
      <c r="J588" s="793">
        <f t="shared" si="51"/>
        <v>0</v>
      </c>
      <c r="K588" s="793"/>
      <c r="L588" s="813"/>
      <c r="M588" s="793">
        <f t="shared" si="45"/>
        <v>0</v>
      </c>
      <c r="N588" s="813"/>
      <c r="O588" s="793">
        <f t="shared" si="46"/>
        <v>0</v>
      </c>
      <c r="P588" s="793">
        <f t="shared" si="47"/>
        <v>0</v>
      </c>
    </row>
    <row r="589" spans="3:16">
      <c r="C589" s="789">
        <f>IF(D528="","-",+C588+1)</f>
        <v>2070</v>
      </c>
      <c r="D589" s="737">
        <f t="shared" si="52"/>
        <v>0</v>
      </c>
      <c r="E589" s="790">
        <f t="shared" si="50"/>
        <v>0</v>
      </c>
      <c r="F589" s="790">
        <f t="shared" si="44"/>
        <v>0</v>
      </c>
      <c r="G589" s="737">
        <f t="shared" si="49"/>
        <v>0</v>
      </c>
      <c r="H589" s="795">
        <f>+J529*G589+E589</f>
        <v>0</v>
      </c>
      <c r="I589" s="796">
        <f>+J530*G589+E589</f>
        <v>0</v>
      </c>
      <c r="J589" s="793">
        <f t="shared" si="51"/>
        <v>0</v>
      </c>
      <c r="K589" s="793"/>
      <c r="L589" s="813"/>
      <c r="M589" s="793">
        <f t="shared" si="45"/>
        <v>0</v>
      </c>
      <c r="N589" s="813"/>
      <c r="O589" s="793">
        <f t="shared" si="46"/>
        <v>0</v>
      </c>
      <c r="P589" s="793">
        <f t="shared" si="47"/>
        <v>0</v>
      </c>
    </row>
    <row r="590" spans="3:16">
      <c r="C590" s="789">
        <f>IF(D528="","-",+C589+1)</f>
        <v>2071</v>
      </c>
      <c r="D590" s="737">
        <f t="shared" si="52"/>
        <v>0</v>
      </c>
      <c r="E590" s="790">
        <f t="shared" si="50"/>
        <v>0</v>
      </c>
      <c r="F590" s="790">
        <f t="shared" si="44"/>
        <v>0</v>
      </c>
      <c r="G590" s="737">
        <f t="shared" si="49"/>
        <v>0</v>
      </c>
      <c r="H590" s="795">
        <f>+J529*G590+E590</f>
        <v>0</v>
      </c>
      <c r="I590" s="796">
        <f>+J530*G590+E590</f>
        <v>0</v>
      </c>
      <c r="J590" s="793">
        <f t="shared" si="51"/>
        <v>0</v>
      </c>
      <c r="K590" s="793"/>
      <c r="L590" s="813"/>
      <c r="M590" s="793">
        <f t="shared" si="45"/>
        <v>0</v>
      </c>
      <c r="N590" s="813"/>
      <c r="O590" s="793">
        <f t="shared" si="46"/>
        <v>0</v>
      </c>
      <c r="P590" s="793">
        <f t="shared" si="47"/>
        <v>0</v>
      </c>
    </row>
    <row r="591" spans="3:16">
      <c r="C591" s="789">
        <f>IF(D528="","-",+C590+1)</f>
        <v>2072</v>
      </c>
      <c r="D591" s="737">
        <f t="shared" si="52"/>
        <v>0</v>
      </c>
      <c r="E591" s="790">
        <f t="shared" si="50"/>
        <v>0</v>
      </c>
      <c r="F591" s="790">
        <f t="shared" si="44"/>
        <v>0</v>
      </c>
      <c r="G591" s="737">
        <f t="shared" si="49"/>
        <v>0</v>
      </c>
      <c r="H591" s="795">
        <f>+J529*G591+E591</f>
        <v>0</v>
      </c>
      <c r="I591" s="796">
        <f>+J530*G591+E591</f>
        <v>0</v>
      </c>
      <c r="J591" s="793">
        <f t="shared" si="51"/>
        <v>0</v>
      </c>
      <c r="K591" s="793"/>
      <c r="L591" s="813"/>
      <c r="M591" s="793">
        <f t="shared" si="45"/>
        <v>0</v>
      </c>
      <c r="N591" s="813"/>
      <c r="O591" s="793">
        <f t="shared" si="46"/>
        <v>0</v>
      </c>
      <c r="P591" s="793">
        <f t="shared" si="47"/>
        <v>0</v>
      </c>
    </row>
    <row r="592" spans="3:16">
      <c r="C592" s="789">
        <f>IF(D528="","-",+C591+1)</f>
        <v>2073</v>
      </c>
      <c r="D592" s="737">
        <f t="shared" si="52"/>
        <v>0</v>
      </c>
      <c r="E592" s="790">
        <f t="shared" si="50"/>
        <v>0</v>
      </c>
      <c r="F592" s="790">
        <f t="shared" si="44"/>
        <v>0</v>
      </c>
      <c r="G592" s="737">
        <f t="shared" si="49"/>
        <v>0</v>
      </c>
      <c r="H592" s="795">
        <f>+J529*G592+E592</f>
        <v>0</v>
      </c>
      <c r="I592" s="796">
        <f>+J530*G592+E592</f>
        <v>0</v>
      </c>
      <c r="J592" s="793">
        <f t="shared" si="51"/>
        <v>0</v>
      </c>
      <c r="K592" s="793"/>
      <c r="L592" s="813"/>
      <c r="M592" s="793">
        <f t="shared" si="45"/>
        <v>0</v>
      </c>
      <c r="N592" s="813"/>
      <c r="O592" s="793">
        <f t="shared" si="46"/>
        <v>0</v>
      </c>
      <c r="P592" s="793">
        <f t="shared" si="47"/>
        <v>0</v>
      </c>
    </row>
    <row r="593" spans="1:17" ht="13.5" thickBot="1">
      <c r="C593" s="799">
        <f>IF(D528="","-",+C592+1)</f>
        <v>2074</v>
      </c>
      <c r="D593" s="800">
        <f t="shared" si="52"/>
        <v>0</v>
      </c>
      <c r="E593" s="801">
        <f t="shared" si="50"/>
        <v>0</v>
      </c>
      <c r="F593" s="801">
        <f t="shared" si="44"/>
        <v>0</v>
      </c>
      <c r="G593" s="800">
        <f t="shared" si="49"/>
        <v>0</v>
      </c>
      <c r="H593" s="802">
        <f>+J529*G593+E593</f>
        <v>0</v>
      </c>
      <c r="I593" s="802">
        <f>+J530*G593+E593</f>
        <v>0</v>
      </c>
      <c r="J593" s="803">
        <f t="shared" si="51"/>
        <v>0</v>
      </c>
      <c r="K593" s="793"/>
      <c r="L593" s="814"/>
      <c r="M593" s="803">
        <f t="shared" si="45"/>
        <v>0</v>
      </c>
      <c r="N593" s="814"/>
      <c r="O593" s="803">
        <f t="shared" si="46"/>
        <v>0</v>
      </c>
      <c r="P593" s="803">
        <f t="shared" si="47"/>
        <v>0</v>
      </c>
    </row>
    <row r="594" spans="1:17">
      <c r="C594" s="737" t="s">
        <v>83</v>
      </c>
      <c r="D594" s="731"/>
      <c r="E594" s="731">
        <f>SUM(E534:E593)</f>
        <v>1465791.6799999997</v>
      </c>
      <c r="F594" s="731"/>
      <c r="G594" s="731"/>
      <c r="H594" s="731">
        <f>SUM(H534:H593)</f>
        <v>4891590.4373999666</v>
      </c>
      <c r="I594" s="731">
        <f>SUM(I534:I593)</f>
        <v>4891590.4373999666</v>
      </c>
      <c r="J594" s="731">
        <f>SUM(J534:J593)</f>
        <v>0</v>
      </c>
      <c r="K594" s="731"/>
      <c r="L594" s="731"/>
      <c r="M594" s="731"/>
      <c r="N594" s="731"/>
      <c r="O594" s="731"/>
    </row>
    <row r="595" spans="1:17">
      <c r="D595" s="539"/>
      <c r="E595" s="314"/>
      <c r="F595" s="314"/>
      <c r="G595" s="314"/>
      <c r="H595" s="314"/>
      <c r="I595" s="709"/>
      <c r="J595" s="709"/>
      <c r="K595" s="731"/>
      <c r="L595" s="709"/>
      <c r="M595" s="709"/>
      <c r="N595" s="709"/>
      <c r="O595" s="709"/>
    </row>
    <row r="596" spans="1:17">
      <c r="C596" s="314" t="s">
        <v>13</v>
      </c>
      <c r="D596" s="539"/>
      <c r="E596" s="314"/>
      <c r="F596" s="314"/>
      <c r="G596" s="314"/>
      <c r="H596" s="314"/>
      <c r="I596" s="709"/>
      <c r="J596" s="709"/>
      <c r="K596" s="731"/>
      <c r="L596" s="709"/>
      <c r="M596" s="709"/>
      <c r="N596" s="709"/>
      <c r="O596" s="709"/>
    </row>
    <row r="597" spans="1:17">
      <c r="C597" s="314"/>
      <c r="D597" s="539"/>
      <c r="E597" s="314"/>
      <c r="F597" s="314"/>
      <c r="G597" s="314"/>
      <c r="H597" s="314"/>
      <c r="I597" s="709"/>
      <c r="J597" s="709"/>
      <c r="K597" s="731"/>
      <c r="L597" s="709"/>
      <c r="M597" s="709"/>
      <c r="N597" s="709"/>
      <c r="O597" s="709"/>
    </row>
    <row r="598" spans="1:17">
      <c r="C598" s="750" t="s">
        <v>14</v>
      </c>
      <c r="D598" s="737"/>
      <c r="E598" s="737"/>
      <c r="F598" s="737"/>
      <c r="G598" s="737"/>
      <c r="H598" s="731"/>
      <c r="I598" s="731"/>
      <c r="J598" s="805"/>
      <c r="K598" s="805"/>
      <c r="L598" s="805"/>
      <c r="M598" s="805"/>
      <c r="N598" s="805"/>
      <c r="O598" s="805"/>
    </row>
    <row r="599" spans="1:17">
      <c r="C599" s="736" t="s">
        <v>263</v>
      </c>
      <c r="D599" s="737"/>
      <c r="E599" s="737"/>
      <c r="F599" s="737"/>
      <c r="G599" s="737"/>
      <c r="H599" s="731"/>
      <c r="I599" s="731"/>
      <c r="J599" s="805"/>
      <c r="K599" s="805"/>
      <c r="L599" s="805"/>
      <c r="M599" s="805"/>
      <c r="N599" s="805"/>
      <c r="O599" s="805"/>
    </row>
    <row r="600" spans="1:17">
      <c r="C600" s="736" t="s">
        <v>84</v>
      </c>
      <c r="D600" s="737"/>
      <c r="E600" s="737"/>
      <c r="F600" s="737"/>
      <c r="G600" s="737"/>
      <c r="H600" s="731"/>
      <c r="I600" s="731"/>
      <c r="J600" s="805"/>
      <c r="K600" s="805"/>
      <c r="L600" s="805"/>
      <c r="M600" s="805"/>
      <c r="N600" s="805"/>
      <c r="O600" s="805"/>
    </row>
    <row r="602" spans="1:17" ht="20.25">
      <c r="A602" s="738" t="str">
        <f>""&amp;A527&amp;" Worksheet K -  ATRR TRUE-UP Calculation for PJM Projects Charged to Benefiting Zones"</f>
        <v xml:space="preserve"> Worksheet K -  ATRR TRUE-UP Calculation for PJM Projects Charged to Benefiting Zones</v>
      </c>
      <c r="B602" s="348"/>
      <c r="C602" s="726"/>
      <c r="D602" s="539"/>
      <c r="E602" s="314"/>
      <c r="F602" s="708"/>
      <c r="G602" s="708"/>
      <c r="H602" s="314"/>
      <c r="I602" s="709"/>
      <c r="L602" s="565"/>
      <c r="M602" s="565"/>
      <c r="N602" s="565"/>
      <c r="O602" s="654" t="str">
        <f>"Page "&amp;SUM(Q$8:Q602)&amp;" of "</f>
        <v xml:space="preserve">Page 8 of </v>
      </c>
      <c r="P602" s="655">
        <f>COUNT(Q$8:Q$57702)</f>
        <v>12</v>
      </c>
      <c r="Q602" s="739">
        <v>1</v>
      </c>
    </row>
    <row r="603" spans="1:17">
      <c r="B603" s="348"/>
      <c r="C603" s="314"/>
      <c r="D603" s="539"/>
      <c r="E603" s="314"/>
      <c r="F603" s="314"/>
      <c r="G603" s="314"/>
      <c r="H603" s="314"/>
      <c r="I603" s="709"/>
      <c r="J603" s="314"/>
      <c r="K603" s="427"/>
    </row>
    <row r="604" spans="1:17" ht="18">
      <c r="B604" s="658" t="s">
        <v>466</v>
      </c>
      <c r="C604" s="740" t="s">
        <v>85</v>
      </c>
      <c r="D604" s="539"/>
      <c r="E604" s="314"/>
      <c r="F604" s="314"/>
      <c r="G604" s="314"/>
      <c r="H604" s="314"/>
      <c r="I604" s="709"/>
      <c r="J604" s="709"/>
      <c r="K604" s="731"/>
      <c r="L604" s="709"/>
      <c r="M604" s="709"/>
      <c r="N604" s="709"/>
      <c r="O604" s="709"/>
    </row>
    <row r="605" spans="1:17" ht="18.75">
      <c r="B605" s="658"/>
      <c r="C605" s="657"/>
      <c r="D605" s="539"/>
      <c r="E605" s="314"/>
      <c r="F605" s="314"/>
      <c r="G605" s="314"/>
      <c r="H605" s="314"/>
      <c r="I605" s="709"/>
      <c r="J605" s="709"/>
      <c r="K605" s="731"/>
      <c r="L605" s="709"/>
      <c r="M605" s="709"/>
      <c r="N605" s="709"/>
      <c r="O605" s="709"/>
    </row>
    <row r="606" spans="1:17" ht="18.75">
      <c r="B606" s="658"/>
      <c r="C606" s="657" t="s">
        <v>86</v>
      </c>
      <c r="D606" s="539"/>
      <c r="E606" s="314"/>
      <c r="F606" s="314"/>
      <c r="G606" s="314"/>
      <c r="H606" s="314"/>
      <c r="I606" s="709"/>
      <c r="J606" s="709"/>
      <c r="K606" s="731"/>
      <c r="L606" s="709"/>
      <c r="M606" s="709"/>
      <c r="N606" s="709"/>
      <c r="O606" s="709"/>
    </row>
    <row r="607" spans="1:17" ht="15.75" thickBot="1">
      <c r="C607" s="240"/>
      <c r="D607" s="539"/>
      <c r="E607" s="314"/>
      <c r="F607" s="314"/>
      <c r="G607" s="314"/>
      <c r="H607" s="314"/>
      <c r="I607" s="709"/>
      <c r="J607" s="709"/>
      <c r="K607" s="731"/>
      <c r="L607" s="709"/>
      <c r="M607" s="709"/>
      <c r="N607" s="709"/>
      <c r="O607" s="709"/>
    </row>
    <row r="608" spans="1:17" ht="15.75">
      <c r="C608" s="660" t="s">
        <v>87</v>
      </c>
      <c r="D608" s="539"/>
      <c r="E608" s="314"/>
      <c r="F608" s="314"/>
      <c r="G608" s="314"/>
      <c r="H608" s="807"/>
      <c r="I608" s="314" t="s">
        <v>66</v>
      </c>
      <c r="J608" s="314"/>
      <c r="K608" s="427"/>
      <c r="L608" s="836">
        <f>+J614</f>
        <v>2022</v>
      </c>
      <c r="M608" s="817" t="s">
        <v>45</v>
      </c>
      <c r="N608" s="817" t="s">
        <v>46</v>
      </c>
      <c r="O608" s="818" t="s">
        <v>47</v>
      </c>
    </row>
    <row r="609" spans="2:16" ht="15.75">
      <c r="C609" s="660"/>
      <c r="D609" s="539"/>
      <c r="E609" s="314"/>
      <c r="F609" s="314"/>
      <c r="H609" s="314"/>
      <c r="I609" s="745"/>
      <c r="J609" s="745"/>
      <c r="K609" s="746"/>
      <c r="L609" s="837" t="s">
        <v>235</v>
      </c>
      <c r="M609" s="838">
        <f>VLOOKUP(J614,C621:P680,10)</f>
        <v>17473302.364871319</v>
      </c>
      <c r="N609" s="838">
        <f>VLOOKUP(J614,C621:P680,12)</f>
        <v>17473302.364871319</v>
      </c>
      <c r="O609" s="839">
        <f>+N609-M609</f>
        <v>0</v>
      </c>
    </row>
    <row r="610" spans="2:16" ht="12.95" customHeight="1">
      <c r="C610" s="750" t="s">
        <v>88</v>
      </c>
      <c r="D610" s="1567" t="s">
        <v>817</v>
      </c>
      <c r="E610" s="1567"/>
      <c r="F610" s="1567"/>
      <c r="G610" s="1567"/>
      <c r="H610" s="1567"/>
      <c r="I610" s="1567"/>
      <c r="J610" s="709"/>
      <c r="K610" s="731"/>
      <c r="L610" s="837" t="s">
        <v>236</v>
      </c>
      <c r="M610" s="840">
        <f>VLOOKUP(J614,C621:P680,6)</f>
        <v>17769573.190269981</v>
      </c>
      <c r="N610" s="840">
        <f>VLOOKUP(J614,C621:P680,7)</f>
        <v>17769573.190269981</v>
      </c>
      <c r="O610" s="841">
        <f>+N610-M610</f>
        <v>0</v>
      </c>
    </row>
    <row r="611" spans="2:16" ht="13.5" thickBot="1">
      <c r="C611" s="754"/>
      <c r="D611" s="755"/>
      <c r="E611" s="735"/>
      <c r="F611" s="735"/>
      <c r="G611" s="735"/>
      <c r="H611" s="756"/>
      <c r="I611" s="709"/>
      <c r="J611" s="709"/>
      <c r="K611" s="731"/>
      <c r="L611" s="773" t="s">
        <v>237</v>
      </c>
      <c r="M611" s="842">
        <f>+M610-M609</f>
        <v>296270.8253986612</v>
      </c>
      <c r="N611" s="842">
        <f>+N610-N609</f>
        <v>296270.8253986612</v>
      </c>
      <c r="O611" s="843">
        <f>+O610-O609</f>
        <v>0</v>
      </c>
    </row>
    <row r="612" spans="2:16" ht="13.5" thickBot="1">
      <c r="C612" s="757"/>
      <c r="D612" s="758"/>
      <c r="E612" s="756"/>
      <c r="F612" s="756"/>
      <c r="G612" s="756"/>
      <c r="H612" s="756"/>
      <c r="I612" s="756"/>
      <c r="J612" s="756"/>
      <c r="K612" s="759"/>
      <c r="L612" s="756"/>
      <c r="M612" s="756"/>
      <c r="N612" s="756"/>
      <c r="O612" s="756"/>
      <c r="P612" s="348"/>
    </row>
    <row r="613" spans="2:16" ht="13.5" thickBot="1">
      <c r="C613" s="760" t="s">
        <v>89</v>
      </c>
      <c r="D613" s="761"/>
      <c r="E613" s="761"/>
      <c r="F613" s="761"/>
      <c r="G613" s="761"/>
      <c r="H613" s="761"/>
      <c r="I613" s="761"/>
      <c r="J613" s="761"/>
      <c r="K613" s="763"/>
      <c r="P613" s="764"/>
    </row>
    <row r="614" spans="2:16" ht="15">
      <c r="C614" s="765" t="s">
        <v>67</v>
      </c>
      <c r="D614" s="809">
        <v>152585742.49000001</v>
      </c>
      <c r="E614" s="726" t="s">
        <v>68</v>
      </c>
      <c r="H614" s="766"/>
      <c r="I614" s="766"/>
      <c r="J614" s="767">
        <f>$J$93</f>
        <v>2022</v>
      </c>
      <c r="K614" s="555"/>
      <c r="L614" s="1569" t="s">
        <v>69</v>
      </c>
      <c r="M614" s="1569"/>
      <c r="N614" s="1569"/>
      <c r="O614" s="1569"/>
      <c r="P614" s="427"/>
    </row>
    <row r="615" spans="2:16">
      <c r="C615" s="765" t="s">
        <v>70</v>
      </c>
      <c r="D615" s="810">
        <v>2015</v>
      </c>
      <c r="E615" s="765" t="s">
        <v>71</v>
      </c>
      <c r="F615" s="766"/>
      <c r="G615" s="766"/>
      <c r="I615" s="173"/>
      <c r="J615" s="811">
        <f>IF(H608="",0,$F$17)</f>
        <v>0</v>
      </c>
      <c r="K615" s="768"/>
      <c r="L615" s="731" t="s">
        <v>277</v>
      </c>
      <c r="P615" s="427"/>
    </row>
    <row r="616" spans="2:16">
      <c r="C616" s="765" t="s">
        <v>72</v>
      </c>
      <c r="D616" s="809">
        <v>5</v>
      </c>
      <c r="E616" s="765" t="s">
        <v>73</v>
      </c>
      <c r="F616" s="766"/>
      <c r="G616" s="766"/>
      <c r="I616" s="173"/>
      <c r="J616" s="769">
        <f>$F$70</f>
        <v>0.11129362813814259</v>
      </c>
      <c r="K616" s="770"/>
      <c r="L616" s="314" t="str">
        <f>"          INPUT TRUE-UP ARR (WITH &amp; WITHOUT INCENTIVES) FROM EACH PRIOR YEAR"</f>
        <v xml:space="preserve">          INPUT TRUE-UP ARR (WITH &amp; WITHOUT INCENTIVES) FROM EACH PRIOR YEAR</v>
      </c>
      <c r="P616" s="427"/>
    </row>
    <row r="617" spans="2:16">
      <c r="C617" s="765" t="s">
        <v>74</v>
      </c>
      <c r="D617" s="771">
        <f>H$79</f>
        <v>41</v>
      </c>
      <c r="E617" s="765" t="s">
        <v>75</v>
      </c>
      <c r="F617" s="766"/>
      <c r="G617" s="766"/>
      <c r="I617" s="173"/>
      <c r="J617" s="769">
        <f>IF(H608="",+J616,$F$69)</f>
        <v>0.11129362813814259</v>
      </c>
      <c r="K617" s="772"/>
      <c r="L617" s="314" t="s">
        <v>157</v>
      </c>
      <c r="M617" s="772"/>
      <c r="N617" s="772"/>
      <c r="O617" s="772"/>
      <c r="P617" s="427"/>
    </row>
    <row r="618" spans="2:16" ht="13.5" thickBot="1">
      <c r="C618" s="765" t="s">
        <v>76</v>
      </c>
      <c r="D618" s="808" t="s">
        <v>811</v>
      </c>
      <c r="E618" s="773" t="s">
        <v>77</v>
      </c>
      <c r="F618" s="774"/>
      <c r="G618" s="774"/>
      <c r="H618" s="775"/>
      <c r="I618" s="775"/>
      <c r="J618" s="753">
        <f>IF(D614=0,0,D614/D617)</f>
        <v>3721603.4753658539</v>
      </c>
      <c r="K618" s="731"/>
      <c r="L618" s="731" t="s">
        <v>158</v>
      </c>
      <c r="M618" s="731"/>
      <c r="N618" s="731"/>
      <c r="O618" s="731"/>
      <c r="P618" s="427"/>
    </row>
    <row r="619" spans="2:16" ht="38.25">
      <c r="B619" s="846"/>
      <c r="C619" s="776" t="s">
        <v>67</v>
      </c>
      <c r="D619" s="777" t="s">
        <v>78</v>
      </c>
      <c r="E619" s="778" t="s">
        <v>79</v>
      </c>
      <c r="F619" s="777" t="s">
        <v>80</v>
      </c>
      <c r="G619" s="777" t="s">
        <v>238</v>
      </c>
      <c r="H619" s="778" t="s">
        <v>151</v>
      </c>
      <c r="I619" s="779" t="s">
        <v>151</v>
      </c>
      <c r="J619" s="776" t="s">
        <v>90</v>
      </c>
      <c r="K619" s="780"/>
      <c r="L619" s="778" t="s">
        <v>153</v>
      </c>
      <c r="M619" s="778" t="s">
        <v>159</v>
      </c>
      <c r="N619" s="778" t="s">
        <v>153</v>
      </c>
      <c r="O619" s="778" t="s">
        <v>161</v>
      </c>
      <c r="P619" s="778" t="s">
        <v>81</v>
      </c>
    </row>
    <row r="620" spans="2:16" ht="13.5" thickBot="1">
      <c r="C620" s="782" t="s">
        <v>469</v>
      </c>
      <c r="D620" s="783" t="s">
        <v>470</v>
      </c>
      <c r="E620" s="782" t="s">
        <v>363</v>
      </c>
      <c r="F620" s="783" t="s">
        <v>470</v>
      </c>
      <c r="G620" s="783" t="s">
        <v>470</v>
      </c>
      <c r="H620" s="784" t="s">
        <v>93</v>
      </c>
      <c r="I620" s="785" t="s">
        <v>95</v>
      </c>
      <c r="J620" s="786" t="s">
        <v>15</v>
      </c>
      <c r="K620" s="787"/>
      <c r="L620" s="784" t="s">
        <v>82</v>
      </c>
      <c r="M620" s="784" t="s">
        <v>82</v>
      </c>
      <c r="N620" s="784" t="s">
        <v>255</v>
      </c>
      <c r="O620" s="784" t="s">
        <v>255</v>
      </c>
      <c r="P620" s="784" t="s">
        <v>255</v>
      </c>
    </row>
    <row r="621" spans="2:16">
      <c r="C621" s="789">
        <f>IF(D615= "","-",D615)</f>
        <v>2015</v>
      </c>
      <c r="D621" s="737">
        <f>+D614</f>
        <v>152585742.49000001</v>
      </c>
      <c r="E621" s="795">
        <f>+J618/12*(12-D616)</f>
        <v>2170935.3606300815</v>
      </c>
      <c r="F621" s="844">
        <f t="shared" ref="F621:F680" si="53">+D621-E621</f>
        <v>150414807.12936991</v>
      </c>
      <c r="G621" s="737">
        <f>+(D621+F621)/2</f>
        <v>151500274.80968496</v>
      </c>
      <c r="H621" s="791">
        <f>+J616*G621+E621</f>
        <v>19031950.608125567</v>
      </c>
      <c r="I621" s="792">
        <f>+J617*G621+E621</f>
        <v>19031950.608125567</v>
      </c>
      <c r="J621" s="793">
        <f>+I621-H621</f>
        <v>0</v>
      </c>
      <c r="K621" s="793"/>
      <c r="L621" s="812">
        <v>772367</v>
      </c>
      <c r="M621" s="845">
        <f t="shared" ref="M621:M680" si="54">IF(L621&lt;&gt;0,+H621-L621,0)</f>
        <v>18259583.608125567</v>
      </c>
      <c r="N621" s="812">
        <v>772367</v>
      </c>
      <c r="O621" s="845">
        <f t="shared" ref="O621:O680" si="55">IF(N621&lt;&gt;0,+I621-N621,0)</f>
        <v>18259583.608125567</v>
      </c>
      <c r="P621" s="845">
        <f t="shared" ref="P621:P680" si="56">+O621-M621</f>
        <v>0</v>
      </c>
    </row>
    <row r="622" spans="2:16">
      <c r="C622" s="789">
        <f>IF(D615="","-",+C621+1)</f>
        <v>2016</v>
      </c>
      <c r="D622" s="737">
        <f t="shared" ref="D622:D674" si="57">F621</f>
        <v>150414807.12936991</v>
      </c>
      <c r="E622" s="790">
        <f>IF(D622&gt;$J$618,$J$618,D622)</f>
        <v>3721603.4753658539</v>
      </c>
      <c r="F622" s="790">
        <f t="shared" si="53"/>
        <v>146693203.65400407</v>
      </c>
      <c r="G622" s="737">
        <f t="shared" ref="G622:G680" si="58">+(D622+F622)/2</f>
        <v>148554005.39168698</v>
      </c>
      <c r="H622" s="795">
        <f>+J616*G622+E622</f>
        <v>20254717.709859893</v>
      </c>
      <c r="I622" s="796">
        <f>+J617*G622+E622</f>
        <v>20254717.709859893</v>
      </c>
      <c r="J622" s="793">
        <f>+I622-H622</f>
        <v>0</v>
      </c>
      <c r="K622" s="793"/>
      <c r="L622" s="813">
        <v>15720783</v>
      </c>
      <c r="M622" s="793">
        <f t="shared" si="54"/>
        <v>4533934.7098598927</v>
      </c>
      <c r="N622" s="813">
        <v>15720783</v>
      </c>
      <c r="O622" s="793">
        <f t="shared" si="55"/>
        <v>4533934.7098598927</v>
      </c>
      <c r="P622" s="793">
        <f t="shared" si="56"/>
        <v>0</v>
      </c>
    </row>
    <row r="623" spans="2:16">
      <c r="C623" s="789">
        <f>IF(D615="","-",+C622+1)</f>
        <v>2017</v>
      </c>
      <c r="D623" s="737">
        <f t="shared" si="57"/>
        <v>146693203.65400407</v>
      </c>
      <c r="E623" s="790">
        <f t="shared" ref="E623:E680" si="59">IF(D623&gt;$J$618,$J$618,D623)</f>
        <v>3721603.4753658539</v>
      </c>
      <c r="F623" s="790">
        <f t="shared" si="53"/>
        <v>142971600.17863822</v>
      </c>
      <c r="G623" s="737">
        <f t="shared" si="58"/>
        <v>144832401.91632116</v>
      </c>
      <c r="H623" s="795">
        <f>+J616*G623+E623</f>
        <v>19840526.95659491</v>
      </c>
      <c r="I623" s="796">
        <f>+J617*G623+E623</f>
        <v>19840526.95659491</v>
      </c>
      <c r="J623" s="793">
        <f t="shared" ref="J623:J680" si="60">+I623-H623</f>
        <v>0</v>
      </c>
      <c r="K623" s="793"/>
      <c r="L623" s="813">
        <v>19038423</v>
      </c>
      <c r="M623" s="793">
        <f t="shared" si="54"/>
        <v>802103.95659491047</v>
      </c>
      <c r="N623" s="813">
        <v>19038423</v>
      </c>
      <c r="O623" s="793">
        <f t="shared" si="55"/>
        <v>802103.95659491047</v>
      </c>
      <c r="P623" s="793">
        <f t="shared" si="56"/>
        <v>0</v>
      </c>
    </row>
    <row r="624" spans="2:16">
      <c r="C624" s="789">
        <f>IF(D615="","-",+C623+1)</f>
        <v>2018</v>
      </c>
      <c r="D624" s="1377">
        <f t="shared" si="57"/>
        <v>142971600.17863822</v>
      </c>
      <c r="E624" s="790">
        <f t="shared" si="59"/>
        <v>3721603.4753658539</v>
      </c>
      <c r="F624" s="790">
        <f t="shared" si="53"/>
        <v>139249996.70327237</v>
      </c>
      <c r="G624" s="737">
        <f t="shared" si="58"/>
        <v>141110798.44095528</v>
      </c>
      <c r="H624" s="795">
        <f>+J616*G624+E624</f>
        <v>19426336.203329921</v>
      </c>
      <c r="I624" s="796">
        <f>+J617*G624+E624</f>
        <v>19426336.203329921</v>
      </c>
      <c r="J624" s="793">
        <f t="shared" si="60"/>
        <v>0</v>
      </c>
      <c r="K624" s="793"/>
      <c r="L624" s="813">
        <v>16446267</v>
      </c>
      <c r="M624" s="793">
        <f t="shared" si="54"/>
        <v>2980069.2033299208</v>
      </c>
      <c r="N624" s="813">
        <v>16446267</v>
      </c>
      <c r="O624" s="793">
        <f t="shared" si="55"/>
        <v>2980069.2033299208</v>
      </c>
      <c r="P624" s="793">
        <f t="shared" si="56"/>
        <v>0</v>
      </c>
    </row>
    <row r="625" spans="3:16">
      <c r="C625" s="789">
        <f>IF(D615="","-",+C624+1)</f>
        <v>2019</v>
      </c>
      <c r="D625" s="737">
        <f t="shared" si="57"/>
        <v>139249996.70327237</v>
      </c>
      <c r="E625" s="790">
        <f t="shared" si="59"/>
        <v>3721603.4753658539</v>
      </c>
      <c r="F625" s="790">
        <f t="shared" si="53"/>
        <v>135528393.22790653</v>
      </c>
      <c r="G625" s="737">
        <f t="shared" si="58"/>
        <v>137389194.96558946</v>
      </c>
      <c r="H625" s="795">
        <f>+J616*G625+E625</f>
        <v>19012145.450064939</v>
      </c>
      <c r="I625" s="796">
        <f>+J617*G625+E625</f>
        <v>19012145.450064939</v>
      </c>
      <c r="J625" s="793">
        <f t="shared" si="60"/>
        <v>0</v>
      </c>
      <c r="K625" s="793"/>
      <c r="L625" s="813">
        <v>17622794.501188699</v>
      </c>
      <c r="M625" s="793">
        <f t="shared" si="54"/>
        <v>1389350.9488762394</v>
      </c>
      <c r="N625" s="813">
        <v>17622794.501188699</v>
      </c>
      <c r="O625" s="793">
        <f t="shared" si="55"/>
        <v>1389350.9488762394</v>
      </c>
      <c r="P625" s="793">
        <f t="shared" si="56"/>
        <v>0</v>
      </c>
    </row>
    <row r="626" spans="3:16">
      <c r="C626" s="789">
        <f>IF(D615="","-",+C625+1)</f>
        <v>2020</v>
      </c>
      <c r="D626" s="737">
        <f t="shared" si="57"/>
        <v>135528393.22790653</v>
      </c>
      <c r="E626" s="790">
        <f t="shared" si="59"/>
        <v>3721603.4753658539</v>
      </c>
      <c r="F626" s="790">
        <f t="shared" si="53"/>
        <v>131806789.75254068</v>
      </c>
      <c r="G626" s="737">
        <f t="shared" si="58"/>
        <v>133667591.4902236</v>
      </c>
      <c r="H626" s="795">
        <f>+J616*G626+E626</f>
        <v>18597954.696799953</v>
      </c>
      <c r="I626" s="796">
        <f>+J617*G626+E626</f>
        <v>18597954.696799953</v>
      </c>
      <c r="J626" s="793">
        <f t="shared" si="60"/>
        <v>0</v>
      </c>
      <c r="K626" s="793"/>
      <c r="L626" s="813">
        <v>17629472.183195844</v>
      </c>
      <c r="M626" s="793">
        <f t="shared" si="54"/>
        <v>968482.51360410824</v>
      </c>
      <c r="N626" s="813">
        <v>17629472.183195844</v>
      </c>
      <c r="O626" s="793">
        <f t="shared" si="55"/>
        <v>968482.51360410824</v>
      </c>
      <c r="P626" s="793">
        <f t="shared" si="56"/>
        <v>0</v>
      </c>
    </row>
    <row r="627" spans="3:16">
      <c r="C627" s="789">
        <f>IF(D615="","-",+C626+1)</f>
        <v>2021</v>
      </c>
      <c r="D627" s="737">
        <f t="shared" si="57"/>
        <v>131806789.75254068</v>
      </c>
      <c r="E627" s="790">
        <f t="shared" si="59"/>
        <v>3721603.4753658539</v>
      </c>
      <c r="F627" s="790">
        <f t="shared" si="53"/>
        <v>128085186.27717483</v>
      </c>
      <c r="G627" s="737">
        <f t="shared" si="58"/>
        <v>129945988.01485775</v>
      </c>
      <c r="H627" s="795">
        <f>+J616*G627+E627</f>
        <v>18183763.943534967</v>
      </c>
      <c r="I627" s="796">
        <f>+J617*G627+E627</f>
        <v>18183763.943534967</v>
      </c>
      <c r="J627" s="793">
        <f t="shared" si="60"/>
        <v>0</v>
      </c>
      <c r="K627" s="793"/>
      <c r="L627" s="813">
        <v>17522701.318641506</v>
      </c>
      <c r="M627" s="793">
        <f t="shared" si="54"/>
        <v>661062.62489346042</v>
      </c>
      <c r="N627" s="813">
        <v>17522701.318641506</v>
      </c>
      <c r="O627" s="793">
        <f t="shared" si="55"/>
        <v>661062.62489346042</v>
      </c>
      <c r="P627" s="793">
        <f t="shared" si="56"/>
        <v>0</v>
      </c>
    </row>
    <row r="628" spans="3:16">
      <c r="C628" s="789">
        <f>IF(D615="","-",+C627+1)</f>
        <v>2022</v>
      </c>
      <c r="D628" s="737">
        <f t="shared" si="57"/>
        <v>128085186.27717483</v>
      </c>
      <c r="E628" s="790">
        <f t="shared" si="59"/>
        <v>3721603.4753658539</v>
      </c>
      <c r="F628" s="790">
        <f t="shared" si="53"/>
        <v>124363582.80180898</v>
      </c>
      <c r="G628" s="737">
        <f t="shared" si="58"/>
        <v>126224384.53949191</v>
      </c>
      <c r="H628" s="795">
        <f>+J616*G628+E628</f>
        <v>17769573.190269981</v>
      </c>
      <c r="I628" s="796">
        <f>+J617*G628+E628</f>
        <v>17769573.190269981</v>
      </c>
      <c r="J628" s="793">
        <f t="shared" si="60"/>
        <v>0</v>
      </c>
      <c r="K628" s="793"/>
      <c r="L628" s="813">
        <v>17473302.364871319</v>
      </c>
      <c r="M628" s="793">
        <f t="shared" si="54"/>
        <v>296270.8253986612</v>
      </c>
      <c r="N628" s="813">
        <v>17473302.364871319</v>
      </c>
      <c r="O628" s="793">
        <f t="shared" si="55"/>
        <v>296270.8253986612</v>
      </c>
      <c r="P628" s="793">
        <f t="shared" si="56"/>
        <v>0</v>
      </c>
    </row>
    <row r="629" spans="3:16">
      <c r="C629" s="789">
        <f>IF(D615="","-",+C628+1)</f>
        <v>2023</v>
      </c>
      <c r="D629" s="737">
        <f t="shared" si="57"/>
        <v>124363582.80180898</v>
      </c>
      <c r="E629" s="790">
        <f t="shared" si="59"/>
        <v>3721603.4753658539</v>
      </c>
      <c r="F629" s="790">
        <f t="shared" si="53"/>
        <v>120641979.32644314</v>
      </c>
      <c r="G629" s="737">
        <f t="shared" si="58"/>
        <v>122502781.06412606</v>
      </c>
      <c r="H629" s="795">
        <f>+J616*G629+E629</f>
        <v>17355382.437004995</v>
      </c>
      <c r="I629" s="796">
        <f>+J617*G629+E629</f>
        <v>17355382.437004995</v>
      </c>
      <c r="J629" s="793">
        <f t="shared" si="60"/>
        <v>0</v>
      </c>
      <c r="K629" s="793"/>
      <c r="L629" s="813"/>
      <c r="M629" s="793">
        <f t="shared" si="54"/>
        <v>0</v>
      </c>
      <c r="N629" s="813"/>
      <c r="O629" s="793">
        <f t="shared" si="55"/>
        <v>0</v>
      </c>
      <c r="P629" s="793">
        <f t="shared" si="56"/>
        <v>0</v>
      </c>
    </row>
    <row r="630" spans="3:16">
      <c r="C630" s="789">
        <f>IF(D615="","-",+C629+1)</f>
        <v>2024</v>
      </c>
      <c r="D630" s="737">
        <f t="shared" si="57"/>
        <v>120641979.32644314</v>
      </c>
      <c r="E630" s="790">
        <f t="shared" si="59"/>
        <v>3721603.4753658539</v>
      </c>
      <c r="F630" s="790">
        <f t="shared" si="53"/>
        <v>116920375.85107729</v>
      </c>
      <c r="G630" s="737">
        <f t="shared" si="58"/>
        <v>118781177.58876021</v>
      </c>
      <c r="H630" s="795">
        <f>+J616*G630+E630</f>
        <v>16941191.683740009</v>
      </c>
      <c r="I630" s="796">
        <f>+J617*G630+E630</f>
        <v>16941191.683740009</v>
      </c>
      <c r="J630" s="793">
        <f t="shared" si="60"/>
        <v>0</v>
      </c>
      <c r="K630" s="793"/>
      <c r="L630" s="813"/>
      <c r="M630" s="793">
        <f t="shared" si="54"/>
        <v>0</v>
      </c>
      <c r="N630" s="813"/>
      <c r="O630" s="793">
        <f t="shared" si="55"/>
        <v>0</v>
      </c>
      <c r="P630" s="793">
        <f t="shared" si="56"/>
        <v>0</v>
      </c>
    </row>
    <row r="631" spans="3:16">
      <c r="C631" s="789">
        <f>IF(D615="","-",+C630+1)</f>
        <v>2025</v>
      </c>
      <c r="D631" s="737">
        <f t="shared" si="57"/>
        <v>116920375.85107729</v>
      </c>
      <c r="E631" s="790">
        <f t="shared" si="59"/>
        <v>3721603.4753658539</v>
      </c>
      <c r="F631" s="790">
        <f t="shared" si="53"/>
        <v>113198772.37571144</v>
      </c>
      <c r="G631" s="737">
        <f t="shared" si="58"/>
        <v>115059574.11339436</v>
      </c>
      <c r="H631" s="795">
        <f>+J616*G631+E631</f>
        <v>16527000.930475023</v>
      </c>
      <c r="I631" s="796">
        <f>+J617*G631+E631</f>
        <v>16527000.930475023</v>
      </c>
      <c r="J631" s="793">
        <f t="shared" si="60"/>
        <v>0</v>
      </c>
      <c r="K631" s="793"/>
      <c r="L631" s="813"/>
      <c r="M631" s="793">
        <f t="shared" si="54"/>
        <v>0</v>
      </c>
      <c r="N631" s="813"/>
      <c r="O631" s="793">
        <f t="shared" si="55"/>
        <v>0</v>
      </c>
      <c r="P631" s="793">
        <f t="shared" si="56"/>
        <v>0</v>
      </c>
    </row>
    <row r="632" spans="3:16">
      <c r="C632" s="789">
        <f>IF(D615="","-",+C631+1)</f>
        <v>2026</v>
      </c>
      <c r="D632" s="737">
        <f t="shared" si="57"/>
        <v>113198772.37571144</v>
      </c>
      <c r="E632" s="790">
        <f t="shared" si="59"/>
        <v>3721603.4753658539</v>
      </c>
      <c r="F632" s="790">
        <f t="shared" si="53"/>
        <v>109477168.90034559</v>
      </c>
      <c r="G632" s="737">
        <f t="shared" si="58"/>
        <v>111337970.63802852</v>
      </c>
      <c r="H632" s="795">
        <f>+J616*G632+E632</f>
        <v>16112810.177210037</v>
      </c>
      <c r="I632" s="796">
        <f>+J617*G632+E632</f>
        <v>16112810.177210037</v>
      </c>
      <c r="J632" s="793">
        <f t="shared" si="60"/>
        <v>0</v>
      </c>
      <c r="K632" s="793"/>
      <c r="L632" s="813"/>
      <c r="M632" s="793">
        <f t="shared" si="54"/>
        <v>0</v>
      </c>
      <c r="N632" s="813"/>
      <c r="O632" s="793">
        <f t="shared" si="55"/>
        <v>0</v>
      </c>
      <c r="P632" s="793">
        <f t="shared" si="56"/>
        <v>0</v>
      </c>
    </row>
    <row r="633" spans="3:16">
      <c r="C633" s="789">
        <f>IF(D615="","-",+C632+1)</f>
        <v>2027</v>
      </c>
      <c r="D633" s="737">
        <f t="shared" si="57"/>
        <v>109477168.90034559</v>
      </c>
      <c r="E633" s="790">
        <f t="shared" si="59"/>
        <v>3721603.4753658539</v>
      </c>
      <c r="F633" s="790">
        <f t="shared" si="53"/>
        <v>105755565.42497975</v>
      </c>
      <c r="G633" s="737">
        <f t="shared" si="58"/>
        <v>107616367.16266267</v>
      </c>
      <c r="H633" s="795">
        <f>+J616*G633+E633</f>
        <v>15698619.423945051</v>
      </c>
      <c r="I633" s="796">
        <f>+J617*G633+E633</f>
        <v>15698619.423945051</v>
      </c>
      <c r="J633" s="793">
        <f t="shared" si="60"/>
        <v>0</v>
      </c>
      <c r="K633" s="793"/>
      <c r="L633" s="813"/>
      <c r="M633" s="793">
        <f t="shared" si="54"/>
        <v>0</v>
      </c>
      <c r="N633" s="813"/>
      <c r="O633" s="793">
        <f t="shared" si="55"/>
        <v>0</v>
      </c>
      <c r="P633" s="793">
        <f t="shared" si="56"/>
        <v>0</v>
      </c>
    </row>
    <row r="634" spans="3:16">
      <c r="C634" s="789">
        <f>IF(D615="","-",+C633+1)</f>
        <v>2028</v>
      </c>
      <c r="D634" s="737">
        <f t="shared" si="57"/>
        <v>105755565.42497975</v>
      </c>
      <c r="E634" s="790">
        <f t="shared" si="59"/>
        <v>3721603.4753658539</v>
      </c>
      <c r="F634" s="790">
        <f t="shared" si="53"/>
        <v>102033961.9496139</v>
      </c>
      <c r="G634" s="737">
        <f t="shared" si="58"/>
        <v>103894763.68729682</v>
      </c>
      <c r="H634" s="795">
        <f>+J616*G634+E634</f>
        <v>15284428.670680065</v>
      </c>
      <c r="I634" s="796">
        <f>+J617*G634+E634</f>
        <v>15284428.670680065</v>
      </c>
      <c r="J634" s="793">
        <f t="shared" si="60"/>
        <v>0</v>
      </c>
      <c r="K634" s="793"/>
      <c r="L634" s="813"/>
      <c r="M634" s="793">
        <f t="shared" si="54"/>
        <v>0</v>
      </c>
      <c r="N634" s="813"/>
      <c r="O634" s="793">
        <f t="shared" si="55"/>
        <v>0</v>
      </c>
      <c r="P634" s="793">
        <f t="shared" si="56"/>
        <v>0</v>
      </c>
    </row>
    <row r="635" spans="3:16">
      <c r="C635" s="789">
        <f>IF(D615="","-",+C634+1)</f>
        <v>2029</v>
      </c>
      <c r="D635" s="737">
        <f t="shared" si="57"/>
        <v>102033961.9496139</v>
      </c>
      <c r="E635" s="790">
        <f t="shared" si="59"/>
        <v>3721603.4753658539</v>
      </c>
      <c r="F635" s="790">
        <f t="shared" si="53"/>
        <v>98312358.474248052</v>
      </c>
      <c r="G635" s="737">
        <f t="shared" si="58"/>
        <v>100173160.21193098</v>
      </c>
      <c r="H635" s="795">
        <f>+J616*G635+E635</f>
        <v>14870237.917415079</v>
      </c>
      <c r="I635" s="796">
        <f>+J617*G635+E635</f>
        <v>14870237.917415079</v>
      </c>
      <c r="J635" s="793">
        <f t="shared" si="60"/>
        <v>0</v>
      </c>
      <c r="K635" s="793"/>
      <c r="L635" s="813"/>
      <c r="M635" s="793">
        <f t="shared" si="54"/>
        <v>0</v>
      </c>
      <c r="N635" s="813"/>
      <c r="O635" s="793">
        <f t="shared" si="55"/>
        <v>0</v>
      </c>
      <c r="P635" s="793">
        <f t="shared" si="56"/>
        <v>0</v>
      </c>
    </row>
    <row r="636" spans="3:16">
      <c r="C636" s="789">
        <f>IF(D615="","-",+C635+1)</f>
        <v>2030</v>
      </c>
      <c r="D636" s="737">
        <f t="shared" si="57"/>
        <v>98312358.474248052</v>
      </c>
      <c r="E636" s="790">
        <f t="shared" si="59"/>
        <v>3721603.4753658539</v>
      </c>
      <c r="F636" s="790">
        <f t="shared" si="53"/>
        <v>94590754.998882204</v>
      </c>
      <c r="G636" s="737">
        <f t="shared" si="58"/>
        <v>96451556.736565128</v>
      </c>
      <c r="H636" s="795">
        <f>+J616*G636+E636</f>
        <v>14456047.164150096</v>
      </c>
      <c r="I636" s="796">
        <f>+J617*G636+E636</f>
        <v>14456047.164150096</v>
      </c>
      <c r="J636" s="793">
        <f t="shared" si="60"/>
        <v>0</v>
      </c>
      <c r="K636" s="793"/>
      <c r="L636" s="813"/>
      <c r="M636" s="793">
        <f t="shared" si="54"/>
        <v>0</v>
      </c>
      <c r="N636" s="813"/>
      <c r="O636" s="793">
        <f t="shared" si="55"/>
        <v>0</v>
      </c>
      <c r="P636" s="793">
        <f t="shared" si="56"/>
        <v>0</v>
      </c>
    </row>
    <row r="637" spans="3:16">
      <c r="C637" s="789">
        <f>IF(D615="","-",+C636+1)</f>
        <v>2031</v>
      </c>
      <c r="D637" s="737">
        <f t="shared" si="57"/>
        <v>94590754.998882204</v>
      </c>
      <c r="E637" s="790">
        <f t="shared" si="59"/>
        <v>3721603.4753658539</v>
      </c>
      <c r="F637" s="790">
        <f t="shared" si="53"/>
        <v>90869151.523516357</v>
      </c>
      <c r="G637" s="737">
        <f t="shared" si="58"/>
        <v>92729953.261199281</v>
      </c>
      <c r="H637" s="795">
        <f>+J616*G637+E637</f>
        <v>14041856.41088511</v>
      </c>
      <c r="I637" s="796">
        <f>+J617*G637+E637</f>
        <v>14041856.41088511</v>
      </c>
      <c r="J637" s="793">
        <f t="shared" si="60"/>
        <v>0</v>
      </c>
      <c r="K637" s="793"/>
      <c r="L637" s="813"/>
      <c r="M637" s="793">
        <f t="shared" si="54"/>
        <v>0</v>
      </c>
      <c r="N637" s="813"/>
      <c r="O637" s="793">
        <f t="shared" si="55"/>
        <v>0</v>
      </c>
      <c r="P637" s="793">
        <f t="shared" si="56"/>
        <v>0</v>
      </c>
    </row>
    <row r="638" spans="3:16">
      <c r="C638" s="789">
        <f>IF(D615="","-",+C637+1)</f>
        <v>2032</v>
      </c>
      <c r="D638" s="737">
        <f t="shared" si="57"/>
        <v>90869151.523516357</v>
      </c>
      <c r="E638" s="790">
        <f t="shared" si="59"/>
        <v>3721603.4753658539</v>
      </c>
      <c r="F638" s="790">
        <f t="shared" si="53"/>
        <v>87147548.04815051</v>
      </c>
      <c r="G638" s="737">
        <f t="shared" si="58"/>
        <v>89008349.785833433</v>
      </c>
      <c r="H638" s="795">
        <f>+J616*G638+E638</f>
        <v>13627665.657620125</v>
      </c>
      <c r="I638" s="796">
        <f>+J617*G638+E638</f>
        <v>13627665.657620125</v>
      </c>
      <c r="J638" s="793">
        <f t="shared" si="60"/>
        <v>0</v>
      </c>
      <c r="K638" s="793"/>
      <c r="L638" s="813"/>
      <c r="M638" s="793">
        <f t="shared" si="54"/>
        <v>0</v>
      </c>
      <c r="N638" s="813"/>
      <c r="O638" s="793">
        <f t="shared" si="55"/>
        <v>0</v>
      </c>
      <c r="P638" s="793">
        <f t="shared" si="56"/>
        <v>0</v>
      </c>
    </row>
    <row r="639" spans="3:16">
      <c r="C639" s="789">
        <f>IF(D615="","-",+C638+1)</f>
        <v>2033</v>
      </c>
      <c r="D639" s="737">
        <f t="shared" si="57"/>
        <v>87147548.04815051</v>
      </c>
      <c r="E639" s="790">
        <f t="shared" si="59"/>
        <v>3721603.4753658539</v>
      </c>
      <c r="F639" s="790">
        <f t="shared" si="53"/>
        <v>83425944.572784662</v>
      </c>
      <c r="G639" s="737">
        <f t="shared" si="58"/>
        <v>85286746.310467586</v>
      </c>
      <c r="H639" s="795">
        <f>+J616*G639+E639</f>
        <v>13213474.904355139</v>
      </c>
      <c r="I639" s="796">
        <f>+J617*G639+E639</f>
        <v>13213474.904355139</v>
      </c>
      <c r="J639" s="793">
        <f t="shared" si="60"/>
        <v>0</v>
      </c>
      <c r="K639" s="793"/>
      <c r="L639" s="813"/>
      <c r="M639" s="793">
        <f t="shared" si="54"/>
        <v>0</v>
      </c>
      <c r="N639" s="813"/>
      <c r="O639" s="793">
        <f t="shared" si="55"/>
        <v>0</v>
      </c>
      <c r="P639" s="793">
        <f t="shared" si="56"/>
        <v>0</v>
      </c>
    </row>
    <row r="640" spans="3:16">
      <c r="C640" s="789">
        <f>IF(D615="","-",+C639+1)</f>
        <v>2034</v>
      </c>
      <c r="D640" s="737">
        <f t="shared" si="57"/>
        <v>83425944.572784662</v>
      </c>
      <c r="E640" s="790">
        <f t="shared" si="59"/>
        <v>3721603.4753658539</v>
      </c>
      <c r="F640" s="790">
        <f t="shared" si="53"/>
        <v>79704341.097418815</v>
      </c>
      <c r="G640" s="737">
        <f t="shared" si="58"/>
        <v>81565142.835101739</v>
      </c>
      <c r="H640" s="795">
        <f>+J616*G640+E640</f>
        <v>12799284.151090153</v>
      </c>
      <c r="I640" s="796">
        <f>+J617*G640+E640</f>
        <v>12799284.151090153</v>
      </c>
      <c r="J640" s="793">
        <f t="shared" si="60"/>
        <v>0</v>
      </c>
      <c r="K640" s="793"/>
      <c r="L640" s="813"/>
      <c r="M640" s="793">
        <f t="shared" si="54"/>
        <v>0</v>
      </c>
      <c r="N640" s="813"/>
      <c r="O640" s="793">
        <f t="shared" si="55"/>
        <v>0</v>
      </c>
      <c r="P640" s="793">
        <f t="shared" si="56"/>
        <v>0</v>
      </c>
    </row>
    <row r="641" spans="3:16">
      <c r="C641" s="789">
        <f>IF(D615="","-",+C640+1)</f>
        <v>2035</v>
      </c>
      <c r="D641" s="737">
        <f t="shared" si="57"/>
        <v>79704341.097418815</v>
      </c>
      <c r="E641" s="790">
        <f t="shared" si="59"/>
        <v>3721603.4753658539</v>
      </c>
      <c r="F641" s="790">
        <f t="shared" si="53"/>
        <v>75982737.622052968</v>
      </c>
      <c r="G641" s="737">
        <f t="shared" si="58"/>
        <v>77843539.359735891</v>
      </c>
      <c r="H641" s="795">
        <f>+J616*G641+E641</f>
        <v>12385093.397825167</v>
      </c>
      <c r="I641" s="796">
        <f>+J617*G641+E641</f>
        <v>12385093.397825167</v>
      </c>
      <c r="J641" s="793">
        <f t="shared" si="60"/>
        <v>0</v>
      </c>
      <c r="K641" s="793"/>
      <c r="L641" s="813"/>
      <c r="M641" s="793">
        <f t="shared" si="54"/>
        <v>0</v>
      </c>
      <c r="N641" s="813"/>
      <c r="O641" s="793">
        <f t="shared" si="55"/>
        <v>0</v>
      </c>
      <c r="P641" s="793">
        <f t="shared" si="56"/>
        <v>0</v>
      </c>
    </row>
    <row r="642" spans="3:16">
      <c r="C642" s="789">
        <f>IF(D615="","-",+C641+1)</f>
        <v>2036</v>
      </c>
      <c r="D642" s="737">
        <f t="shared" si="57"/>
        <v>75982737.622052968</v>
      </c>
      <c r="E642" s="790">
        <f t="shared" si="59"/>
        <v>3721603.4753658539</v>
      </c>
      <c r="F642" s="790">
        <f t="shared" si="53"/>
        <v>72261134.14668712</v>
      </c>
      <c r="G642" s="737">
        <f t="shared" si="58"/>
        <v>74121935.884370044</v>
      </c>
      <c r="H642" s="795">
        <f>+J616*G642+E642</f>
        <v>11970902.644560181</v>
      </c>
      <c r="I642" s="796">
        <f>+J617*G642+E642</f>
        <v>11970902.644560181</v>
      </c>
      <c r="J642" s="793">
        <f t="shared" si="60"/>
        <v>0</v>
      </c>
      <c r="K642" s="793"/>
      <c r="L642" s="813"/>
      <c r="M642" s="793">
        <f t="shared" si="54"/>
        <v>0</v>
      </c>
      <c r="N642" s="813"/>
      <c r="O642" s="793">
        <f t="shared" si="55"/>
        <v>0</v>
      </c>
      <c r="P642" s="793">
        <f t="shared" si="56"/>
        <v>0</v>
      </c>
    </row>
    <row r="643" spans="3:16">
      <c r="C643" s="789">
        <f>IF(D615="","-",+C642+1)</f>
        <v>2037</v>
      </c>
      <c r="D643" s="737">
        <f t="shared" si="57"/>
        <v>72261134.14668712</v>
      </c>
      <c r="E643" s="790">
        <f t="shared" si="59"/>
        <v>3721603.4753658539</v>
      </c>
      <c r="F643" s="790">
        <f t="shared" si="53"/>
        <v>68539530.671321273</v>
      </c>
      <c r="G643" s="737">
        <f t="shared" si="58"/>
        <v>70400332.409004197</v>
      </c>
      <c r="H643" s="795">
        <f>+J616*G643+E643</f>
        <v>11556711.891295195</v>
      </c>
      <c r="I643" s="796">
        <f>+J617*G643+E643</f>
        <v>11556711.891295195</v>
      </c>
      <c r="J643" s="793">
        <f t="shared" si="60"/>
        <v>0</v>
      </c>
      <c r="K643" s="793"/>
      <c r="L643" s="813"/>
      <c r="M643" s="793">
        <f t="shared" si="54"/>
        <v>0</v>
      </c>
      <c r="N643" s="813"/>
      <c r="O643" s="793">
        <f t="shared" si="55"/>
        <v>0</v>
      </c>
      <c r="P643" s="793">
        <f t="shared" si="56"/>
        <v>0</v>
      </c>
    </row>
    <row r="644" spans="3:16">
      <c r="C644" s="789">
        <f>IF(D615="","-",+C643+1)</f>
        <v>2038</v>
      </c>
      <c r="D644" s="737">
        <f t="shared" si="57"/>
        <v>68539530.671321273</v>
      </c>
      <c r="E644" s="790">
        <f t="shared" si="59"/>
        <v>3721603.4753658539</v>
      </c>
      <c r="F644" s="790">
        <f t="shared" si="53"/>
        <v>64817927.195955418</v>
      </c>
      <c r="G644" s="737">
        <f t="shared" si="58"/>
        <v>66678728.933638349</v>
      </c>
      <c r="H644" s="795">
        <f>+J616*G644+E644</f>
        <v>11142521.138030209</v>
      </c>
      <c r="I644" s="796">
        <f>+J617*G644+E644</f>
        <v>11142521.138030209</v>
      </c>
      <c r="J644" s="793">
        <f t="shared" si="60"/>
        <v>0</v>
      </c>
      <c r="K644" s="793"/>
      <c r="L644" s="813"/>
      <c r="M644" s="793">
        <f t="shared" si="54"/>
        <v>0</v>
      </c>
      <c r="N644" s="813"/>
      <c r="O644" s="793">
        <f t="shared" si="55"/>
        <v>0</v>
      </c>
      <c r="P644" s="793">
        <f t="shared" si="56"/>
        <v>0</v>
      </c>
    </row>
    <row r="645" spans="3:16">
      <c r="C645" s="789">
        <f>IF(D615="","-",+C644+1)</f>
        <v>2039</v>
      </c>
      <c r="D645" s="737">
        <f t="shared" si="57"/>
        <v>64817927.195955418</v>
      </c>
      <c r="E645" s="790">
        <f t="shared" si="59"/>
        <v>3721603.4753658539</v>
      </c>
      <c r="F645" s="790">
        <f t="shared" si="53"/>
        <v>61096323.720589563</v>
      </c>
      <c r="G645" s="737">
        <f t="shared" si="58"/>
        <v>62957125.458272487</v>
      </c>
      <c r="H645" s="795">
        <f>+J616*G645+E645</f>
        <v>10728330.384765223</v>
      </c>
      <c r="I645" s="796">
        <f>+J617*G645+E645</f>
        <v>10728330.384765223</v>
      </c>
      <c r="J645" s="793">
        <f t="shared" si="60"/>
        <v>0</v>
      </c>
      <c r="K645" s="793"/>
      <c r="L645" s="813"/>
      <c r="M645" s="793">
        <f t="shared" si="54"/>
        <v>0</v>
      </c>
      <c r="N645" s="813"/>
      <c r="O645" s="793">
        <f t="shared" si="55"/>
        <v>0</v>
      </c>
      <c r="P645" s="793">
        <f t="shared" si="56"/>
        <v>0</v>
      </c>
    </row>
    <row r="646" spans="3:16">
      <c r="C646" s="789">
        <f>IF(D615="","-",+C645+1)</f>
        <v>2040</v>
      </c>
      <c r="D646" s="737">
        <f t="shared" si="57"/>
        <v>61096323.720589563</v>
      </c>
      <c r="E646" s="790">
        <f t="shared" si="59"/>
        <v>3721603.4753658539</v>
      </c>
      <c r="F646" s="790">
        <f t="shared" si="53"/>
        <v>57374720.245223708</v>
      </c>
      <c r="G646" s="737">
        <f t="shared" si="58"/>
        <v>59235521.98290664</v>
      </c>
      <c r="H646" s="795">
        <f>+J616*G646+E646</f>
        <v>10314139.631500237</v>
      </c>
      <c r="I646" s="796">
        <f>+J617*G646+E646</f>
        <v>10314139.631500237</v>
      </c>
      <c r="J646" s="793">
        <f t="shared" si="60"/>
        <v>0</v>
      </c>
      <c r="K646" s="793"/>
      <c r="L646" s="813"/>
      <c r="M646" s="793">
        <f t="shared" si="54"/>
        <v>0</v>
      </c>
      <c r="N646" s="813"/>
      <c r="O646" s="793">
        <f t="shared" si="55"/>
        <v>0</v>
      </c>
      <c r="P646" s="793">
        <f t="shared" si="56"/>
        <v>0</v>
      </c>
    </row>
    <row r="647" spans="3:16">
      <c r="C647" s="789">
        <f>IF(D615="","-",+C646+1)</f>
        <v>2041</v>
      </c>
      <c r="D647" s="737">
        <f t="shared" si="57"/>
        <v>57374720.245223708</v>
      </c>
      <c r="E647" s="790">
        <f t="shared" si="59"/>
        <v>3721603.4753658539</v>
      </c>
      <c r="F647" s="790">
        <f t="shared" si="53"/>
        <v>53653116.769857854</v>
      </c>
      <c r="G647" s="737">
        <f t="shared" si="58"/>
        <v>55513918.507540777</v>
      </c>
      <c r="H647" s="795">
        <f>+J616*G647+E647</f>
        <v>9899948.8782352488</v>
      </c>
      <c r="I647" s="796">
        <f>+J617*G647+E647</f>
        <v>9899948.8782352488</v>
      </c>
      <c r="J647" s="793">
        <f t="shared" si="60"/>
        <v>0</v>
      </c>
      <c r="K647" s="793"/>
      <c r="L647" s="813"/>
      <c r="M647" s="793">
        <f t="shared" si="54"/>
        <v>0</v>
      </c>
      <c r="N647" s="813"/>
      <c r="O647" s="793">
        <f t="shared" si="55"/>
        <v>0</v>
      </c>
      <c r="P647" s="793">
        <f t="shared" si="56"/>
        <v>0</v>
      </c>
    </row>
    <row r="648" spans="3:16">
      <c r="C648" s="789">
        <f>IF(D615="","-",+C647+1)</f>
        <v>2042</v>
      </c>
      <c r="D648" s="737">
        <f t="shared" si="57"/>
        <v>53653116.769857854</v>
      </c>
      <c r="E648" s="790">
        <f t="shared" si="59"/>
        <v>3721603.4753658539</v>
      </c>
      <c r="F648" s="790">
        <f t="shared" si="53"/>
        <v>49931513.294491999</v>
      </c>
      <c r="G648" s="737">
        <f t="shared" si="58"/>
        <v>51792315.03217493</v>
      </c>
      <c r="H648" s="795">
        <f>+J616*G648+E648</f>
        <v>9485758.1249702629</v>
      </c>
      <c r="I648" s="796">
        <f>+J617*G648+E648</f>
        <v>9485758.1249702629</v>
      </c>
      <c r="J648" s="793">
        <f t="shared" si="60"/>
        <v>0</v>
      </c>
      <c r="K648" s="793"/>
      <c r="L648" s="813"/>
      <c r="M648" s="793">
        <f t="shared" si="54"/>
        <v>0</v>
      </c>
      <c r="N648" s="813"/>
      <c r="O648" s="793">
        <f t="shared" si="55"/>
        <v>0</v>
      </c>
      <c r="P648" s="793">
        <f t="shared" si="56"/>
        <v>0</v>
      </c>
    </row>
    <row r="649" spans="3:16">
      <c r="C649" s="789">
        <f>IF(D615="","-",+C648+1)</f>
        <v>2043</v>
      </c>
      <c r="D649" s="737">
        <f t="shared" si="57"/>
        <v>49931513.294491999</v>
      </c>
      <c r="E649" s="790">
        <f t="shared" si="59"/>
        <v>3721603.4753658539</v>
      </c>
      <c r="F649" s="790">
        <f t="shared" si="53"/>
        <v>46209909.819126144</v>
      </c>
      <c r="G649" s="737">
        <f t="shared" si="58"/>
        <v>48070711.556809068</v>
      </c>
      <c r="H649" s="795">
        <f>+J616*G649+E649</f>
        <v>9071567.371705275</v>
      </c>
      <c r="I649" s="796">
        <f>+J617*G649+E649</f>
        <v>9071567.371705275</v>
      </c>
      <c r="J649" s="793">
        <f t="shared" si="60"/>
        <v>0</v>
      </c>
      <c r="K649" s="793"/>
      <c r="L649" s="813"/>
      <c r="M649" s="793">
        <f t="shared" si="54"/>
        <v>0</v>
      </c>
      <c r="N649" s="813"/>
      <c r="O649" s="793">
        <f t="shared" si="55"/>
        <v>0</v>
      </c>
      <c r="P649" s="793">
        <f t="shared" si="56"/>
        <v>0</v>
      </c>
    </row>
    <row r="650" spans="3:16">
      <c r="C650" s="789">
        <f>IF(D615="","-",+C649+1)</f>
        <v>2044</v>
      </c>
      <c r="D650" s="737">
        <f t="shared" si="57"/>
        <v>46209909.819126144</v>
      </c>
      <c r="E650" s="790">
        <f t="shared" si="59"/>
        <v>3721603.4753658539</v>
      </c>
      <c r="F650" s="790">
        <f t="shared" si="53"/>
        <v>42488306.343760289</v>
      </c>
      <c r="G650" s="737">
        <f t="shared" si="58"/>
        <v>44349108.08144322</v>
      </c>
      <c r="H650" s="795">
        <f>+J616*G650+E650</f>
        <v>8657376.6184402891</v>
      </c>
      <c r="I650" s="796">
        <f>+J617*G650+E650</f>
        <v>8657376.6184402891</v>
      </c>
      <c r="J650" s="793">
        <f t="shared" si="60"/>
        <v>0</v>
      </c>
      <c r="K650" s="793"/>
      <c r="L650" s="813"/>
      <c r="M650" s="793">
        <f t="shared" si="54"/>
        <v>0</v>
      </c>
      <c r="N650" s="813"/>
      <c r="O650" s="793">
        <f t="shared" si="55"/>
        <v>0</v>
      </c>
      <c r="P650" s="793">
        <f t="shared" si="56"/>
        <v>0</v>
      </c>
    </row>
    <row r="651" spans="3:16">
      <c r="C651" s="789">
        <f>IF(D615="","-",+C650+1)</f>
        <v>2045</v>
      </c>
      <c r="D651" s="737">
        <f t="shared" si="57"/>
        <v>42488306.343760289</v>
      </c>
      <c r="E651" s="790">
        <f t="shared" si="59"/>
        <v>3721603.4753658539</v>
      </c>
      <c r="F651" s="790">
        <f t="shared" si="53"/>
        <v>38766702.868394434</v>
      </c>
      <c r="G651" s="737">
        <f t="shared" si="58"/>
        <v>40627504.606077358</v>
      </c>
      <c r="H651" s="795">
        <f>+J616*G651+E651</f>
        <v>8243185.8651753021</v>
      </c>
      <c r="I651" s="796">
        <f>+J617*G651+E651</f>
        <v>8243185.8651753021</v>
      </c>
      <c r="J651" s="793">
        <f t="shared" si="60"/>
        <v>0</v>
      </c>
      <c r="K651" s="793"/>
      <c r="L651" s="813"/>
      <c r="M651" s="793">
        <f t="shared" si="54"/>
        <v>0</v>
      </c>
      <c r="N651" s="813"/>
      <c r="O651" s="793">
        <f t="shared" si="55"/>
        <v>0</v>
      </c>
      <c r="P651" s="793">
        <f t="shared" si="56"/>
        <v>0</v>
      </c>
    </row>
    <row r="652" spans="3:16">
      <c r="C652" s="789">
        <f>IF(D615="","-",+C651+1)</f>
        <v>2046</v>
      </c>
      <c r="D652" s="737">
        <f t="shared" si="57"/>
        <v>38766702.868394434</v>
      </c>
      <c r="E652" s="790">
        <f t="shared" si="59"/>
        <v>3721603.4753658539</v>
      </c>
      <c r="F652" s="790">
        <f t="shared" si="53"/>
        <v>35045099.39302858</v>
      </c>
      <c r="G652" s="737">
        <f t="shared" si="58"/>
        <v>36905901.130711511</v>
      </c>
      <c r="H652" s="795">
        <f>+J616*G652+E652</f>
        <v>7828995.1119103171</v>
      </c>
      <c r="I652" s="796">
        <f>+J617*G652+E652</f>
        <v>7828995.1119103171</v>
      </c>
      <c r="J652" s="793">
        <f t="shared" si="60"/>
        <v>0</v>
      </c>
      <c r="K652" s="793"/>
      <c r="L652" s="813"/>
      <c r="M652" s="793">
        <f t="shared" si="54"/>
        <v>0</v>
      </c>
      <c r="N652" s="813"/>
      <c r="O652" s="793">
        <f t="shared" si="55"/>
        <v>0</v>
      </c>
      <c r="P652" s="793">
        <f t="shared" si="56"/>
        <v>0</v>
      </c>
    </row>
    <row r="653" spans="3:16">
      <c r="C653" s="789">
        <f>IF(D615="","-",+C652+1)</f>
        <v>2047</v>
      </c>
      <c r="D653" s="737">
        <f t="shared" si="57"/>
        <v>35045099.39302858</v>
      </c>
      <c r="E653" s="790">
        <f t="shared" si="59"/>
        <v>3721603.4753658539</v>
      </c>
      <c r="F653" s="790">
        <f t="shared" si="53"/>
        <v>31323495.917662725</v>
      </c>
      <c r="G653" s="737">
        <f t="shared" si="58"/>
        <v>33184297.655345652</v>
      </c>
      <c r="H653" s="795">
        <f>+J616*G653+E653</f>
        <v>7414804.3586453293</v>
      </c>
      <c r="I653" s="796">
        <f>+J617*G653+E653</f>
        <v>7414804.3586453293</v>
      </c>
      <c r="J653" s="793">
        <f t="shared" si="60"/>
        <v>0</v>
      </c>
      <c r="K653" s="793"/>
      <c r="L653" s="813"/>
      <c r="M653" s="793">
        <f t="shared" si="54"/>
        <v>0</v>
      </c>
      <c r="N653" s="813"/>
      <c r="O653" s="793">
        <f t="shared" si="55"/>
        <v>0</v>
      </c>
      <c r="P653" s="793">
        <f t="shared" si="56"/>
        <v>0</v>
      </c>
    </row>
    <row r="654" spans="3:16">
      <c r="C654" s="789">
        <f>IF(D615="","-",+C653+1)</f>
        <v>2048</v>
      </c>
      <c r="D654" s="737">
        <f t="shared" si="57"/>
        <v>31323495.917662725</v>
      </c>
      <c r="E654" s="790">
        <f t="shared" si="59"/>
        <v>3721603.4753658539</v>
      </c>
      <c r="F654" s="790">
        <f t="shared" si="53"/>
        <v>27601892.44229687</v>
      </c>
      <c r="G654" s="737">
        <f t="shared" si="58"/>
        <v>29462694.179979797</v>
      </c>
      <c r="H654" s="795">
        <f>+J616*G654+E654</f>
        <v>7000613.6053803433</v>
      </c>
      <c r="I654" s="796">
        <f>+J617*G654+E654</f>
        <v>7000613.6053803433</v>
      </c>
      <c r="J654" s="793">
        <f t="shared" si="60"/>
        <v>0</v>
      </c>
      <c r="K654" s="793"/>
      <c r="L654" s="813"/>
      <c r="M654" s="793">
        <f t="shared" si="54"/>
        <v>0</v>
      </c>
      <c r="N654" s="813"/>
      <c r="O654" s="793">
        <f t="shared" si="55"/>
        <v>0</v>
      </c>
      <c r="P654" s="793">
        <f t="shared" si="56"/>
        <v>0</v>
      </c>
    </row>
    <row r="655" spans="3:16">
      <c r="C655" s="789">
        <f>IF(D615="","-",+C654+1)</f>
        <v>2049</v>
      </c>
      <c r="D655" s="737">
        <f t="shared" si="57"/>
        <v>27601892.44229687</v>
      </c>
      <c r="E655" s="790">
        <f t="shared" si="59"/>
        <v>3721603.4753658539</v>
      </c>
      <c r="F655" s="790">
        <f t="shared" si="53"/>
        <v>23880288.966931015</v>
      </c>
      <c r="G655" s="737">
        <f t="shared" si="58"/>
        <v>25741090.704613943</v>
      </c>
      <c r="H655" s="795">
        <f>+J616*G655+E655</f>
        <v>6586422.8521153573</v>
      </c>
      <c r="I655" s="796">
        <f>+J617*G655+E655</f>
        <v>6586422.8521153573</v>
      </c>
      <c r="J655" s="793">
        <f t="shared" si="60"/>
        <v>0</v>
      </c>
      <c r="K655" s="793"/>
      <c r="L655" s="813"/>
      <c r="M655" s="793">
        <f t="shared" si="54"/>
        <v>0</v>
      </c>
      <c r="N655" s="813"/>
      <c r="O655" s="793">
        <f t="shared" si="55"/>
        <v>0</v>
      </c>
      <c r="P655" s="793">
        <f t="shared" si="56"/>
        <v>0</v>
      </c>
    </row>
    <row r="656" spans="3:16">
      <c r="C656" s="789">
        <f>IF(D615="","-",+C655+1)</f>
        <v>2050</v>
      </c>
      <c r="D656" s="737">
        <f t="shared" si="57"/>
        <v>23880288.966931015</v>
      </c>
      <c r="E656" s="790">
        <f t="shared" si="59"/>
        <v>3721603.4753658539</v>
      </c>
      <c r="F656" s="790">
        <f t="shared" si="53"/>
        <v>20158685.49156516</v>
      </c>
      <c r="G656" s="737">
        <f t="shared" si="58"/>
        <v>22019487.229248088</v>
      </c>
      <c r="H656" s="795">
        <f>+J616*G656+E656</f>
        <v>6172232.0988503704</v>
      </c>
      <c r="I656" s="796">
        <f>+J617*G656+E656</f>
        <v>6172232.0988503704</v>
      </c>
      <c r="J656" s="793">
        <f t="shared" si="60"/>
        <v>0</v>
      </c>
      <c r="K656" s="793"/>
      <c r="L656" s="813"/>
      <c r="M656" s="793">
        <f t="shared" si="54"/>
        <v>0</v>
      </c>
      <c r="N656" s="813"/>
      <c r="O656" s="793">
        <f t="shared" si="55"/>
        <v>0</v>
      </c>
      <c r="P656" s="793">
        <f t="shared" si="56"/>
        <v>0</v>
      </c>
    </row>
    <row r="657" spans="3:16">
      <c r="C657" s="789">
        <f>IF(D615="","-",+C656+1)</f>
        <v>2051</v>
      </c>
      <c r="D657" s="737">
        <f t="shared" si="57"/>
        <v>20158685.49156516</v>
      </c>
      <c r="E657" s="790">
        <f t="shared" si="59"/>
        <v>3721603.4753658539</v>
      </c>
      <c r="F657" s="790">
        <f t="shared" si="53"/>
        <v>16437082.016199306</v>
      </c>
      <c r="G657" s="737">
        <f t="shared" si="58"/>
        <v>18297883.753882233</v>
      </c>
      <c r="H657" s="795">
        <f>+J616*G657+E657</f>
        <v>5758041.3455853835</v>
      </c>
      <c r="I657" s="796">
        <f>+J617*G657+E657</f>
        <v>5758041.3455853835</v>
      </c>
      <c r="J657" s="793">
        <f t="shared" si="60"/>
        <v>0</v>
      </c>
      <c r="K657" s="793"/>
      <c r="L657" s="813"/>
      <c r="M657" s="793">
        <f t="shared" si="54"/>
        <v>0</v>
      </c>
      <c r="N657" s="813"/>
      <c r="O657" s="793">
        <f t="shared" si="55"/>
        <v>0</v>
      </c>
      <c r="P657" s="793">
        <f t="shared" si="56"/>
        <v>0</v>
      </c>
    </row>
    <row r="658" spans="3:16">
      <c r="C658" s="789">
        <f>IF(D615="","-",+C657+1)</f>
        <v>2052</v>
      </c>
      <c r="D658" s="737">
        <f t="shared" si="57"/>
        <v>16437082.016199306</v>
      </c>
      <c r="E658" s="790">
        <f t="shared" si="59"/>
        <v>3721603.4753658539</v>
      </c>
      <c r="F658" s="790">
        <f t="shared" si="53"/>
        <v>12715478.540833451</v>
      </c>
      <c r="G658" s="737">
        <f t="shared" si="58"/>
        <v>14576280.278516378</v>
      </c>
      <c r="H658" s="795">
        <f>+J616*G658+E658</f>
        <v>5343850.5923203975</v>
      </c>
      <c r="I658" s="796">
        <f>+J617*G658+E658</f>
        <v>5343850.5923203975</v>
      </c>
      <c r="J658" s="793">
        <f t="shared" si="60"/>
        <v>0</v>
      </c>
      <c r="K658" s="793"/>
      <c r="L658" s="813"/>
      <c r="M658" s="793">
        <f t="shared" si="54"/>
        <v>0</v>
      </c>
      <c r="N658" s="813"/>
      <c r="O658" s="793">
        <f t="shared" si="55"/>
        <v>0</v>
      </c>
      <c r="P658" s="793">
        <f t="shared" si="56"/>
        <v>0</v>
      </c>
    </row>
    <row r="659" spans="3:16">
      <c r="C659" s="789">
        <f>IF(D615="","-",+C658+1)</f>
        <v>2053</v>
      </c>
      <c r="D659" s="737">
        <f t="shared" si="57"/>
        <v>12715478.540833451</v>
      </c>
      <c r="E659" s="790">
        <f t="shared" si="59"/>
        <v>3721603.4753658539</v>
      </c>
      <c r="F659" s="790">
        <f t="shared" si="53"/>
        <v>8993875.0654675961</v>
      </c>
      <c r="G659" s="737">
        <f t="shared" si="58"/>
        <v>10854676.803150523</v>
      </c>
      <c r="H659" s="795">
        <f>+J616*G659+E659</f>
        <v>4929659.8390554106</v>
      </c>
      <c r="I659" s="796">
        <f>+J617*G659+E659</f>
        <v>4929659.8390554106</v>
      </c>
      <c r="J659" s="793">
        <f t="shared" si="60"/>
        <v>0</v>
      </c>
      <c r="K659" s="793"/>
      <c r="L659" s="813"/>
      <c r="M659" s="793">
        <f t="shared" si="54"/>
        <v>0</v>
      </c>
      <c r="N659" s="813"/>
      <c r="O659" s="793">
        <f t="shared" si="55"/>
        <v>0</v>
      </c>
      <c r="P659" s="793">
        <f t="shared" si="56"/>
        <v>0</v>
      </c>
    </row>
    <row r="660" spans="3:16">
      <c r="C660" s="789">
        <f>IF(D615="","-",+C659+1)</f>
        <v>2054</v>
      </c>
      <c r="D660" s="737">
        <f t="shared" si="57"/>
        <v>8993875.0654675961</v>
      </c>
      <c r="E660" s="790">
        <f t="shared" si="59"/>
        <v>3721603.4753658539</v>
      </c>
      <c r="F660" s="790">
        <f t="shared" si="53"/>
        <v>5272271.5901017422</v>
      </c>
      <c r="G660" s="737">
        <f t="shared" si="58"/>
        <v>7133073.3277846687</v>
      </c>
      <c r="H660" s="795">
        <f>+J616*G660+E660</f>
        <v>4515469.0857904237</v>
      </c>
      <c r="I660" s="796">
        <f>+J617*G660+E660</f>
        <v>4515469.0857904237</v>
      </c>
      <c r="J660" s="793">
        <f t="shared" si="60"/>
        <v>0</v>
      </c>
      <c r="K660" s="793"/>
      <c r="L660" s="813"/>
      <c r="M660" s="793">
        <f t="shared" si="54"/>
        <v>0</v>
      </c>
      <c r="N660" s="813"/>
      <c r="O660" s="793">
        <f t="shared" si="55"/>
        <v>0</v>
      </c>
      <c r="P660" s="793">
        <f t="shared" si="56"/>
        <v>0</v>
      </c>
    </row>
    <row r="661" spans="3:16">
      <c r="C661" s="789">
        <f>IF(D615="","-",+C660+1)</f>
        <v>2055</v>
      </c>
      <c r="D661" s="737">
        <f t="shared" si="57"/>
        <v>5272271.5901017422</v>
      </c>
      <c r="E661" s="790">
        <f t="shared" si="59"/>
        <v>3721603.4753658539</v>
      </c>
      <c r="F661" s="790">
        <f t="shared" si="53"/>
        <v>1550668.1147358883</v>
      </c>
      <c r="G661" s="737">
        <f t="shared" si="58"/>
        <v>3411469.8524188153</v>
      </c>
      <c r="H661" s="795">
        <f>+J616*G661+E661</f>
        <v>4101278.3325254377</v>
      </c>
      <c r="I661" s="796">
        <f>+J617*G661+E661</f>
        <v>4101278.3325254377</v>
      </c>
      <c r="J661" s="793">
        <f t="shared" si="60"/>
        <v>0</v>
      </c>
      <c r="K661" s="793"/>
      <c r="L661" s="813"/>
      <c r="M661" s="793">
        <f t="shared" si="54"/>
        <v>0</v>
      </c>
      <c r="N661" s="813"/>
      <c r="O661" s="793">
        <f t="shared" si="55"/>
        <v>0</v>
      </c>
      <c r="P661" s="793">
        <f t="shared" si="56"/>
        <v>0</v>
      </c>
    </row>
    <row r="662" spans="3:16">
      <c r="C662" s="789">
        <f>IF(D615="","-",+C661+1)</f>
        <v>2056</v>
      </c>
      <c r="D662" s="737">
        <f t="shared" si="57"/>
        <v>1550668.1147358883</v>
      </c>
      <c r="E662" s="790">
        <f t="shared" si="59"/>
        <v>1550668.1147358883</v>
      </c>
      <c r="F662" s="790">
        <f t="shared" si="53"/>
        <v>0</v>
      </c>
      <c r="G662" s="737">
        <f t="shared" si="58"/>
        <v>775334.05736794416</v>
      </c>
      <c r="H662" s="795">
        <f>+J616*G662+E662</f>
        <v>1636957.8549994335</v>
      </c>
      <c r="I662" s="796">
        <f>+J617*G662+E662</f>
        <v>1636957.8549994335</v>
      </c>
      <c r="J662" s="793">
        <f t="shared" si="60"/>
        <v>0</v>
      </c>
      <c r="K662" s="793"/>
      <c r="L662" s="813"/>
      <c r="M662" s="793">
        <f t="shared" si="54"/>
        <v>0</v>
      </c>
      <c r="N662" s="813"/>
      <c r="O662" s="793">
        <f t="shared" si="55"/>
        <v>0</v>
      </c>
      <c r="P662" s="793">
        <f t="shared" si="56"/>
        <v>0</v>
      </c>
    </row>
    <row r="663" spans="3:16">
      <c r="C663" s="789">
        <f>IF(D615="","-",+C662+1)</f>
        <v>2057</v>
      </c>
      <c r="D663" s="737">
        <f t="shared" si="57"/>
        <v>0</v>
      </c>
      <c r="E663" s="790">
        <f t="shared" si="59"/>
        <v>0</v>
      </c>
      <c r="F663" s="790">
        <f t="shared" si="53"/>
        <v>0</v>
      </c>
      <c r="G663" s="737">
        <f t="shared" si="58"/>
        <v>0</v>
      </c>
      <c r="H663" s="795">
        <f>+J616*G663+E663</f>
        <v>0</v>
      </c>
      <c r="I663" s="796">
        <f>+J617*G663+E663</f>
        <v>0</v>
      </c>
      <c r="J663" s="793">
        <f t="shared" si="60"/>
        <v>0</v>
      </c>
      <c r="K663" s="793"/>
      <c r="L663" s="813"/>
      <c r="M663" s="793">
        <f t="shared" si="54"/>
        <v>0</v>
      </c>
      <c r="N663" s="813"/>
      <c r="O663" s="793">
        <f t="shared" si="55"/>
        <v>0</v>
      </c>
      <c r="P663" s="793">
        <f t="shared" si="56"/>
        <v>0</v>
      </c>
    </row>
    <row r="664" spans="3:16">
      <c r="C664" s="789">
        <f>IF(D615="","-",+C663+1)</f>
        <v>2058</v>
      </c>
      <c r="D664" s="737">
        <f t="shared" si="57"/>
        <v>0</v>
      </c>
      <c r="E664" s="790">
        <f t="shared" si="59"/>
        <v>0</v>
      </c>
      <c r="F664" s="790">
        <f t="shared" si="53"/>
        <v>0</v>
      </c>
      <c r="G664" s="737">
        <f t="shared" si="58"/>
        <v>0</v>
      </c>
      <c r="H664" s="795">
        <f>+J616*G664+E664</f>
        <v>0</v>
      </c>
      <c r="I664" s="796">
        <f>+J617*G664+E664</f>
        <v>0</v>
      </c>
      <c r="J664" s="793">
        <f t="shared" si="60"/>
        <v>0</v>
      </c>
      <c r="K664" s="793"/>
      <c r="L664" s="813"/>
      <c r="M664" s="793">
        <f t="shared" si="54"/>
        <v>0</v>
      </c>
      <c r="N664" s="813"/>
      <c r="O664" s="793">
        <f t="shared" si="55"/>
        <v>0</v>
      </c>
      <c r="P664" s="793">
        <f t="shared" si="56"/>
        <v>0</v>
      </c>
    </row>
    <row r="665" spans="3:16">
      <c r="C665" s="789">
        <f>IF(D615="","-",+C664+1)</f>
        <v>2059</v>
      </c>
      <c r="D665" s="737">
        <f t="shared" si="57"/>
        <v>0</v>
      </c>
      <c r="E665" s="790">
        <f t="shared" si="59"/>
        <v>0</v>
      </c>
      <c r="F665" s="790">
        <f t="shared" si="53"/>
        <v>0</v>
      </c>
      <c r="G665" s="737">
        <f t="shared" si="58"/>
        <v>0</v>
      </c>
      <c r="H665" s="795">
        <f>+J616*G665+E665</f>
        <v>0</v>
      </c>
      <c r="I665" s="796">
        <f>+J617*G665+E665</f>
        <v>0</v>
      </c>
      <c r="J665" s="793">
        <f t="shared" si="60"/>
        <v>0</v>
      </c>
      <c r="K665" s="793"/>
      <c r="L665" s="813"/>
      <c r="M665" s="793">
        <f t="shared" si="54"/>
        <v>0</v>
      </c>
      <c r="N665" s="813"/>
      <c r="O665" s="793">
        <f t="shared" si="55"/>
        <v>0</v>
      </c>
      <c r="P665" s="793">
        <f t="shared" si="56"/>
        <v>0</v>
      </c>
    </row>
    <row r="666" spans="3:16">
      <c r="C666" s="789">
        <f>IF(D615="","-",+C665+1)</f>
        <v>2060</v>
      </c>
      <c r="D666" s="737">
        <f t="shared" si="57"/>
        <v>0</v>
      </c>
      <c r="E666" s="790">
        <f t="shared" si="59"/>
        <v>0</v>
      </c>
      <c r="F666" s="790">
        <f t="shared" si="53"/>
        <v>0</v>
      </c>
      <c r="G666" s="737">
        <f t="shared" si="58"/>
        <v>0</v>
      </c>
      <c r="H666" s="795">
        <f>+J616*G666+E666</f>
        <v>0</v>
      </c>
      <c r="I666" s="796">
        <f>+J617*G666+E666</f>
        <v>0</v>
      </c>
      <c r="J666" s="793">
        <f t="shared" si="60"/>
        <v>0</v>
      </c>
      <c r="K666" s="793"/>
      <c r="L666" s="813"/>
      <c r="M666" s="793">
        <f t="shared" si="54"/>
        <v>0</v>
      </c>
      <c r="N666" s="813"/>
      <c r="O666" s="793">
        <f t="shared" si="55"/>
        <v>0</v>
      </c>
      <c r="P666" s="793">
        <f t="shared" si="56"/>
        <v>0</v>
      </c>
    </row>
    <row r="667" spans="3:16">
      <c r="C667" s="789">
        <f>IF(D615="","-",+C666+1)</f>
        <v>2061</v>
      </c>
      <c r="D667" s="737">
        <f t="shared" si="57"/>
        <v>0</v>
      </c>
      <c r="E667" s="790">
        <f t="shared" si="59"/>
        <v>0</v>
      </c>
      <c r="F667" s="790">
        <f t="shared" si="53"/>
        <v>0</v>
      </c>
      <c r="G667" s="737">
        <f t="shared" si="58"/>
        <v>0</v>
      </c>
      <c r="H667" s="795">
        <f>+J616*G667+E667</f>
        <v>0</v>
      </c>
      <c r="I667" s="796">
        <f>+J617*G667+E667</f>
        <v>0</v>
      </c>
      <c r="J667" s="793">
        <f t="shared" si="60"/>
        <v>0</v>
      </c>
      <c r="K667" s="793"/>
      <c r="L667" s="813"/>
      <c r="M667" s="793">
        <f t="shared" si="54"/>
        <v>0</v>
      </c>
      <c r="N667" s="813"/>
      <c r="O667" s="793">
        <f t="shared" si="55"/>
        <v>0</v>
      </c>
      <c r="P667" s="793">
        <f t="shared" si="56"/>
        <v>0</v>
      </c>
    </row>
    <row r="668" spans="3:16">
      <c r="C668" s="789">
        <f>IF(D615="","-",+C667+1)</f>
        <v>2062</v>
      </c>
      <c r="D668" s="737">
        <f t="shared" si="57"/>
        <v>0</v>
      </c>
      <c r="E668" s="790">
        <f t="shared" si="59"/>
        <v>0</v>
      </c>
      <c r="F668" s="790">
        <f t="shared" si="53"/>
        <v>0</v>
      </c>
      <c r="G668" s="737">
        <f t="shared" si="58"/>
        <v>0</v>
      </c>
      <c r="H668" s="795">
        <f>+J616*G668+E668</f>
        <v>0</v>
      </c>
      <c r="I668" s="796">
        <f>+J617*G668+E668</f>
        <v>0</v>
      </c>
      <c r="J668" s="793">
        <f t="shared" si="60"/>
        <v>0</v>
      </c>
      <c r="K668" s="793"/>
      <c r="L668" s="813"/>
      <c r="M668" s="793">
        <f t="shared" si="54"/>
        <v>0</v>
      </c>
      <c r="N668" s="813"/>
      <c r="O668" s="793">
        <f t="shared" si="55"/>
        <v>0</v>
      </c>
      <c r="P668" s="793">
        <f t="shared" si="56"/>
        <v>0</v>
      </c>
    </row>
    <row r="669" spans="3:16">
      <c r="C669" s="789">
        <f>IF(D615="","-",+C668+1)</f>
        <v>2063</v>
      </c>
      <c r="D669" s="737">
        <f t="shared" si="57"/>
        <v>0</v>
      </c>
      <c r="E669" s="790">
        <f t="shared" si="59"/>
        <v>0</v>
      </c>
      <c r="F669" s="790">
        <f t="shared" si="53"/>
        <v>0</v>
      </c>
      <c r="G669" s="737">
        <f t="shared" si="58"/>
        <v>0</v>
      </c>
      <c r="H669" s="795">
        <f>+J616*G669+E669</f>
        <v>0</v>
      </c>
      <c r="I669" s="796">
        <f>+J617*G669+E669</f>
        <v>0</v>
      </c>
      <c r="J669" s="793">
        <f t="shared" si="60"/>
        <v>0</v>
      </c>
      <c r="K669" s="793"/>
      <c r="L669" s="813"/>
      <c r="M669" s="793">
        <f t="shared" si="54"/>
        <v>0</v>
      </c>
      <c r="N669" s="813"/>
      <c r="O669" s="793">
        <f t="shared" si="55"/>
        <v>0</v>
      </c>
      <c r="P669" s="793">
        <f t="shared" si="56"/>
        <v>0</v>
      </c>
    </row>
    <row r="670" spans="3:16">
      <c r="C670" s="789">
        <f>IF(D615="","-",+C669+1)</f>
        <v>2064</v>
      </c>
      <c r="D670" s="737">
        <f t="shared" si="57"/>
        <v>0</v>
      </c>
      <c r="E670" s="790">
        <f t="shared" si="59"/>
        <v>0</v>
      </c>
      <c r="F670" s="790">
        <f t="shared" si="53"/>
        <v>0</v>
      </c>
      <c r="G670" s="737">
        <f t="shared" si="58"/>
        <v>0</v>
      </c>
      <c r="H670" s="795">
        <f>+J616*G670+E670</f>
        <v>0</v>
      </c>
      <c r="I670" s="796">
        <f>+J617*G670+E670</f>
        <v>0</v>
      </c>
      <c r="J670" s="793">
        <f t="shared" si="60"/>
        <v>0</v>
      </c>
      <c r="K670" s="793"/>
      <c r="L670" s="813"/>
      <c r="M670" s="793">
        <f t="shared" si="54"/>
        <v>0</v>
      </c>
      <c r="N670" s="813"/>
      <c r="O670" s="793">
        <f t="shared" si="55"/>
        <v>0</v>
      </c>
      <c r="P670" s="793">
        <f t="shared" si="56"/>
        <v>0</v>
      </c>
    </row>
    <row r="671" spans="3:16">
      <c r="C671" s="789">
        <f>IF(D615="","-",+C670+1)</f>
        <v>2065</v>
      </c>
      <c r="D671" s="737">
        <f t="shared" si="57"/>
        <v>0</v>
      </c>
      <c r="E671" s="790">
        <f t="shared" si="59"/>
        <v>0</v>
      </c>
      <c r="F671" s="790">
        <f t="shared" si="53"/>
        <v>0</v>
      </c>
      <c r="G671" s="737">
        <f t="shared" si="58"/>
        <v>0</v>
      </c>
      <c r="H671" s="795">
        <f>+J616*G671+E671</f>
        <v>0</v>
      </c>
      <c r="I671" s="796">
        <f>+J617*G671+E671</f>
        <v>0</v>
      </c>
      <c r="J671" s="793">
        <f t="shared" si="60"/>
        <v>0</v>
      </c>
      <c r="K671" s="793"/>
      <c r="L671" s="813"/>
      <c r="M671" s="793">
        <f t="shared" si="54"/>
        <v>0</v>
      </c>
      <c r="N671" s="813"/>
      <c r="O671" s="793">
        <f t="shared" si="55"/>
        <v>0</v>
      </c>
      <c r="P671" s="793">
        <f t="shared" si="56"/>
        <v>0</v>
      </c>
    </row>
    <row r="672" spans="3:16">
      <c r="C672" s="789">
        <f>IF(D615="","-",+C671+1)</f>
        <v>2066</v>
      </c>
      <c r="D672" s="737">
        <f t="shared" si="57"/>
        <v>0</v>
      </c>
      <c r="E672" s="790">
        <f t="shared" si="59"/>
        <v>0</v>
      </c>
      <c r="F672" s="790">
        <f t="shared" si="53"/>
        <v>0</v>
      </c>
      <c r="G672" s="737">
        <f t="shared" si="58"/>
        <v>0</v>
      </c>
      <c r="H672" s="795">
        <f>+J616*G672+E672</f>
        <v>0</v>
      </c>
      <c r="I672" s="796">
        <f>+J617*G672+E672</f>
        <v>0</v>
      </c>
      <c r="J672" s="793">
        <f t="shared" si="60"/>
        <v>0</v>
      </c>
      <c r="K672" s="793"/>
      <c r="L672" s="813"/>
      <c r="M672" s="793">
        <f t="shared" si="54"/>
        <v>0</v>
      </c>
      <c r="N672" s="813"/>
      <c r="O672" s="793">
        <f t="shared" si="55"/>
        <v>0</v>
      </c>
      <c r="P672" s="793">
        <f t="shared" si="56"/>
        <v>0</v>
      </c>
    </row>
    <row r="673" spans="3:16">
      <c r="C673" s="789">
        <f>IF(D615="","-",+C672+1)</f>
        <v>2067</v>
      </c>
      <c r="D673" s="737">
        <f t="shared" si="57"/>
        <v>0</v>
      </c>
      <c r="E673" s="790">
        <f t="shared" si="59"/>
        <v>0</v>
      </c>
      <c r="F673" s="790">
        <f t="shared" si="53"/>
        <v>0</v>
      </c>
      <c r="G673" s="737">
        <f t="shared" si="58"/>
        <v>0</v>
      </c>
      <c r="H673" s="795">
        <f>+J616*G673+E673</f>
        <v>0</v>
      </c>
      <c r="I673" s="796">
        <f>+J617*G673+E673</f>
        <v>0</v>
      </c>
      <c r="J673" s="793">
        <f t="shared" si="60"/>
        <v>0</v>
      </c>
      <c r="K673" s="793"/>
      <c r="L673" s="813"/>
      <c r="M673" s="793">
        <f t="shared" si="54"/>
        <v>0</v>
      </c>
      <c r="N673" s="813"/>
      <c r="O673" s="793">
        <f t="shared" si="55"/>
        <v>0</v>
      </c>
      <c r="P673" s="793">
        <f t="shared" si="56"/>
        <v>0</v>
      </c>
    </row>
    <row r="674" spans="3:16">
      <c r="C674" s="789">
        <f>IF(D615="","-",+C673+1)</f>
        <v>2068</v>
      </c>
      <c r="D674" s="737">
        <f t="shared" si="57"/>
        <v>0</v>
      </c>
      <c r="E674" s="790">
        <f t="shared" si="59"/>
        <v>0</v>
      </c>
      <c r="F674" s="790">
        <f t="shared" si="53"/>
        <v>0</v>
      </c>
      <c r="G674" s="737">
        <f t="shared" si="58"/>
        <v>0</v>
      </c>
      <c r="H674" s="795">
        <f>+J616*G674+E674</f>
        <v>0</v>
      </c>
      <c r="I674" s="796">
        <f>+J617*G674+E674</f>
        <v>0</v>
      </c>
      <c r="J674" s="793">
        <f t="shared" si="60"/>
        <v>0</v>
      </c>
      <c r="K674" s="793"/>
      <c r="L674" s="813"/>
      <c r="M674" s="793">
        <f t="shared" si="54"/>
        <v>0</v>
      </c>
      <c r="N674" s="813"/>
      <c r="O674" s="793">
        <f t="shared" si="55"/>
        <v>0</v>
      </c>
      <c r="P674" s="793">
        <f t="shared" si="56"/>
        <v>0</v>
      </c>
    </row>
    <row r="675" spans="3:16">
      <c r="C675" s="789">
        <f>IF(D615="","-",+C674+1)</f>
        <v>2069</v>
      </c>
      <c r="D675" s="737">
        <f t="shared" ref="D675:D680" si="61">F674</f>
        <v>0</v>
      </c>
      <c r="E675" s="790">
        <f t="shared" si="59"/>
        <v>0</v>
      </c>
      <c r="F675" s="790">
        <f t="shared" si="53"/>
        <v>0</v>
      </c>
      <c r="G675" s="737">
        <f t="shared" si="58"/>
        <v>0</v>
      </c>
      <c r="H675" s="795">
        <f>+J616*G675+E675</f>
        <v>0</v>
      </c>
      <c r="I675" s="796">
        <f>+J617*G675+E675</f>
        <v>0</v>
      </c>
      <c r="J675" s="793">
        <f t="shared" si="60"/>
        <v>0</v>
      </c>
      <c r="K675" s="793"/>
      <c r="L675" s="813"/>
      <c r="M675" s="793">
        <f t="shared" si="54"/>
        <v>0</v>
      </c>
      <c r="N675" s="813"/>
      <c r="O675" s="793">
        <f t="shared" si="55"/>
        <v>0</v>
      </c>
      <c r="P675" s="793">
        <f t="shared" si="56"/>
        <v>0</v>
      </c>
    </row>
    <row r="676" spans="3:16">
      <c r="C676" s="789">
        <f>IF(D615="","-",+C675+1)</f>
        <v>2070</v>
      </c>
      <c r="D676" s="737">
        <f t="shared" si="61"/>
        <v>0</v>
      </c>
      <c r="E676" s="790">
        <f t="shared" si="59"/>
        <v>0</v>
      </c>
      <c r="F676" s="790">
        <f t="shared" si="53"/>
        <v>0</v>
      </c>
      <c r="G676" s="737">
        <f t="shared" si="58"/>
        <v>0</v>
      </c>
      <c r="H676" s="795">
        <f>+J616*G676+E676</f>
        <v>0</v>
      </c>
      <c r="I676" s="796">
        <f>+J617*G676+E676</f>
        <v>0</v>
      </c>
      <c r="J676" s="793">
        <f t="shared" si="60"/>
        <v>0</v>
      </c>
      <c r="K676" s="793"/>
      <c r="L676" s="813"/>
      <c r="M676" s="793">
        <f t="shared" si="54"/>
        <v>0</v>
      </c>
      <c r="N676" s="813"/>
      <c r="O676" s="793">
        <f t="shared" si="55"/>
        <v>0</v>
      </c>
      <c r="P676" s="793">
        <f t="shared" si="56"/>
        <v>0</v>
      </c>
    </row>
    <row r="677" spans="3:16">
      <c r="C677" s="789">
        <f>IF(D615="","-",+C676+1)</f>
        <v>2071</v>
      </c>
      <c r="D677" s="737">
        <f t="shared" si="61"/>
        <v>0</v>
      </c>
      <c r="E677" s="790">
        <f t="shared" si="59"/>
        <v>0</v>
      </c>
      <c r="F677" s="790">
        <f t="shared" si="53"/>
        <v>0</v>
      </c>
      <c r="G677" s="737">
        <f t="shared" si="58"/>
        <v>0</v>
      </c>
      <c r="H677" s="795">
        <f>+J616*G677+E677</f>
        <v>0</v>
      </c>
      <c r="I677" s="796">
        <f>+J617*G677+E677</f>
        <v>0</v>
      </c>
      <c r="J677" s="793">
        <f t="shared" si="60"/>
        <v>0</v>
      </c>
      <c r="K677" s="793"/>
      <c r="L677" s="813"/>
      <c r="M677" s="793">
        <f t="shared" si="54"/>
        <v>0</v>
      </c>
      <c r="N677" s="813"/>
      <c r="O677" s="793">
        <f t="shared" si="55"/>
        <v>0</v>
      </c>
      <c r="P677" s="793">
        <f t="shared" si="56"/>
        <v>0</v>
      </c>
    </row>
    <row r="678" spans="3:16">
      <c r="C678" s="789">
        <f>IF(D615="","-",+C677+1)</f>
        <v>2072</v>
      </c>
      <c r="D678" s="737">
        <f t="shared" si="61"/>
        <v>0</v>
      </c>
      <c r="E678" s="790">
        <f t="shared" si="59"/>
        <v>0</v>
      </c>
      <c r="F678" s="790">
        <f t="shared" si="53"/>
        <v>0</v>
      </c>
      <c r="G678" s="737">
        <f t="shared" si="58"/>
        <v>0</v>
      </c>
      <c r="H678" s="795">
        <f>+J616*G678+E678</f>
        <v>0</v>
      </c>
      <c r="I678" s="796">
        <f>+J617*G678+E678</f>
        <v>0</v>
      </c>
      <c r="J678" s="793">
        <f t="shared" si="60"/>
        <v>0</v>
      </c>
      <c r="K678" s="793"/>
      <c r="L678" s="813"/>
      <c r="M678" s="793">
        <f t="shared" si="54"/>
        <v>0</v>
      </c>
      <c r="N678" s="813"/>
      <c r="O678" s="793">
        <f t="shared" si="55"/>
        <v>0</v>
      </c>
      <c r="P678" s="793">
        <f t="shared" si="56"/>
        <v>0</v>
      </c>
    </row>
    <row r="679" spans="3:16">
      <c r="C679" s="789">
        <f>IF(D615="","-",+C678+1)</f>
        <v>2073</v>
      </c>
      <c r="D679" s="737">
        <f t="shared" si="61"/>
        <v>0</v>
      </c>
      <c r="E679" s="790">
        <f t="shared" si="59"/>
        <v>0</v>
      </c>
      <c r="F679" s="790">
        <f t="shared" si="53"/>
        <v>0</v>
      </c>
      <c r="G679" s="737">
        <f t="shared" si="58"/>
        <v>0</v>
      </c>
      <c r="H679" s="795">
        <f>+J616*G679+E679</f>
        <v>0</v>
      </c>
      <c r="I679" s="796">
        <f>+J617*G679+E679</f>
        <v>0</v>
      </c>
      <c r="J679" s="793">
        <f t="shared" si="60"/>
        <v>0</v>
      </c>
      <c r="K679" s="793"/>
      <c r="L679" s="813"/>
      <c r="M679" s="793">
        <f t="shared" si="54"/>
        <v>0</v>
      </c>
      <c r="N679" s="813"/>
      <c r="O679" s="793">
        <f t="shared" si="55"/>
        <v>0</v>
      </c>
      <c r="P679" s="793">
        <f t="shared" si="56"/>
        <v>0</v>
      </c>
    </row>
    <row r="680" spans="3:16" ht="13.5" thickBot="1">
      <c r="C680" s="799">
        <f>IF(D615="","-",+C679+1)</f>
        <v>2074</v>
      </c>
      <c r="D680" s="800">
        <f t="shared" si="61"/>
        <v>0</v>
      </c>
      <c r="E680" s="801">
        <f t="shared" si="59"/>
        <v>0</v>
      </c>
      <c r="F680" s="801">
        <f t="shared" si="53"/>
        <v>0</v>
      </c>
      <c r="G680" s="800">
        <f t="shared" si="58"/>
        <v>0</v>
      </c>
      <c r="H680" s="802">
        <f>+J616*G680+E680</f>
        <v>0</v>
      </c>
      <c r="I680" s="802">
        <f>+J617*G680+E680</f>
        <v>0</v>
      </c>
      <c r="J680" s="803">
        <f t="shared" si="60"/>
        <v>0</v>
      </c>
      <c r="K680" s="793"/>
      <c r="L680" s="814"/>
      <c r="M680" s="803">
        <f t="shared" si="54"/>
        <v>0</v>
      </c>
      <c r="N680" s="814"/>
      <c r="O680" s="803">
        <f t="shared" si="55"/>
        <v>0</v>
      </c>
      <c r="P680" s="803">
        <f t="shared" si="56"/>
        <v>0</v>
      </c>
    </row>
    <row r="681" spans="3:16">
      <c r="C681" s="737" t="s">
        <v>83</v>
      </c>
      <c r="D681" s="731"/>
      <c r="E681" s="731">
        <f>SUM(E621:E680)</f>
        <v>152585742.49000001</v>
      </c>
      <c r="F681" s="731"/>
      <c r="G681" s="731"/>
      <c r="H681" s="731">
        <f>SUM(H621:H680)</f>
        <v>507788829.31083173</v>
      </c>
      <c r="I681" s="731">
        <f>SUM(I621:I680)</f>
        <v>507788829.31083173</v>
      </c>
      <c r="J681" s="731">
        <f>SUM(J621:J680)</f>
        <v>0</v>
      </c>
      <c r="K681" s="731"/>
      <c r="L681" s="731"/>
      <c r="M681" s="731"/>
      <c r="N681" s="731"/>
      <c r="O681" s="731"/>
    </row>
    <row r="682" spans="3:16">
      <c r="D682" s="539"/>
      <c r="E682" s="314"/>
      <c r="F682" s="314"/>
      <c r="G682" s="314"/>
      <c r="H682" s="314"/>
      <c r="I682" s="709"/>
      <c r="J682" s="709"/>
      <c r="K682" s="731"/>
      <c r="L682" s="709"/>
      <c r="M682" s="709"/>
      <c r="N682" s="709"/>
      <c r="O682" s="709"/>
    </row>
    <row r="683" spans="3:16">
      <c r="C683" s="314" t="s">
        <v>13</v>
      </c>
      <c r="D683" s="539"/>
      <c r="E683" s="314"/>
      <c r="F683" s="314"/>
      <c r="G683" s="314"/>
      <c r="H683" s="314"/>
      <c r="I683" s="709"/>
      <c r="J683" s="709"/>
      <c r="K683" s="731"/>
      <c r="L683" s="709"/>
      <c r="M683" s="709"/>
      <c r="N683" s="709"/>
      <c r="O683" s="709"/>
    </row>
    <row r="684" spans="3:16">
      <c r="C684" s="314"/>
      <c r="D684" s="539"/>
      <c r="E684" s="314"/>
      <c r="F684" s="314"/>
      <c r="G684" s="314"/>
      <c r="H684" s="314"/>
      <c r="I684" s="709"/>
      <c r="J684" s="709"/>
      <c r="K684" s="731"/>
      <c r="L684" s="709"/>
      <c r="M684" s="709"/>
      <c r="N684" s="709"/>
      <c r="O684" s="709"/>
    </row>
    <row r="685" spans="3:16">
      <c r="C685" s="750" t="s">
        <v>14</v>
      </c>
      <c r="D685" s="737"/>
      <c r="E685" s="737"/>
      <c r="F685" s="737"/>
      <c r="G685" s="737"/>
      <c r="H685" s="731"/>
      <c r="I685" s="731"/>
      <c r="J685" s="805"/>
      <c r="K685" s="805"/>
      <c r="L685" s="805"/>
      <c r="M685" s="805"/>
      <c r="N685" s="805"/>
      <c r="O685" s="805"/>
    </row>
    <row r="686" spans="3:16">
      <c r="C686" s="736" t="s">
        <v>263</v>
      </c>
      <c r="D686" s="737"/>
      <c r="E686" s="737"/>
      <c r="F686" s="737"/>
      <c r="G686" s="737"/>
      <c r="H686" s="731"/>
      <c r="I686" s="731"/>
      <c r="J686" s="805"/>
      <c r="K686" s="805"/>
      <c r="L686" s="805"/>
      <c r="M686" s="805"/>
      <c r="N686" s="805"/>
      <c r="O686" s="805"/>
    </row>
    <row r="687" spans="3:16">
      <c r="C687" s="736" t="s">
        <v>84</v>
      </c>
      <c r="D687" s="737"/>
      <c r="E687" s="737"/>
      <c r="F687" s="737"/>
      <c r="G687" s="737"/>
      <c r="H687" s="731"/>
      <c r="I687" s="731"/>
      <c r="J687" s="805"/>
      <c r="K687" s="805"/>
      <c r="L687" s="805"/>
      <c r="M687" s="805"/>
      <c r="N687" s="805"/>
      <c r="O687" s="805"/>
    </row>
    <row r="689" spans="1:17" ht="20.25">
      <c r="A689" s="738" t="str">
        <f>""&amp;A614&amp;" Worksheet K -  ATRR TRUE-UP Calculation for PJM Projects Charged to Benefiting Zones"</f>
        <v xml:space="preserve"> Worksheet K -  ATRR TRUE-UP Calculation for PJM Projects Charged to Benefiting Zones</v>
      </c>
      <c r="B689" s="348"/>
      <c r="C689" s="726"/>
      <c r="D689" s="539"/>
      <c r="E689" s="314"/>
      <c r="F689" s="708"/>
      <c r="G689" s="708"/>
      <c r="H689" s="314"/>
      <c r="I689" s="709"/>
      <c r="L689" s="565"/>
      <c r="M689" s="565"/>
      <c r="N689" s="565"/>
      <c r="O689" s="654" t="str">
        <f>"Page "&amp;SUM(Q$8:Q689)&amp;" of "</f>
        <v xml:space="preserve">Page 9 of </v>
      </c>
      <c r="P689" s="655">
        <f>COUNT(Q$8:Q$57702)</f>
        <v>12</v>
      </c>
      <c r="Q689" s="739">
        <v>1</v>
      </c>
    </row>
    <row r="690" spans="1:17">
      <c r="B690" s="348"/>
      <c r="C690" s="314"/>
      <c r="D690" s="539"/>
      <c r="E690" s="314"/>
      <c r="F690" s="314"/>
      <c r="G690" s="314"/>
      <c r="H690" s="314"/>
      <c r="I690" s="709"/>
      <c r="J690" s="314"/>
      <c r="K690" s="427"/>
    </row>
    <row r="691" spans="1:17" ht="18">
      <c r="B691" s="658" t="s">
        <v>466</v>
      </c>
      <c r="C691" s="740" t="s">
        <v>85</v>
      </c>
      <c r="D691" s="539"/>
      <c r="E691" s="314"/>
      <c r="F691" s="314"/>
      <c r="G691" s="314"/>
      <c r="H691" s="314"/>
      <c r="I691" s="709"/>
      <c r="J691" s="709"/>
      <c r="K691" s="731"/>
      <c r="L691" s="709"/>
      <c r="M691" s="709"/>
      <c r="N691" s="709"/>
      <c r="O691" s="709"/>
    </row>
    <row r="692" spans="1:17" ht="18.75">
      <c r="B692" s="658"/>
      <c r="C692" s="657"/>
      <c r="D692" s="539"/>
      <c r="E692" s="314"/>
      <c r="F692" s="314"/>
      <c r="G692" s="314"/>
      <c r="H692" s="314"/>
      <c r="I692" s="709"/>
      <c r="J692" s="709"/>
      <c r="K692" s="731"/>
      <c r="L692" s="709"/>
      <c r="M692" s="709"/>
      <c r="N692" s="709"/>
      <c r="O692" s="709"/>
    </row>
    <row r="693" spans="1:17" ht="18.75">
      <c r="B693" s="658"/>
      <c r="C693" s="657" t="s">
        <v>86</v>
      </c>
      <c r="D693" s="539"/>
      <c r="E693" s="314"/>
      <c r="F693" s="314"/>
      <c r="G693" s="314"/>
      <c r="H693" s="314"/>
      <c r="I693" s="709"/>
      <c r="J693" s="709"/>
      <c r="K693" s="731"/>
      <c r="L693" s="709"/>
      <c r="M693" s="709"/>
      <c r="N693" s="709"/>
      <c r="O693" s="709"/>
    </row>
    <row r="694" spans="1:17" ht="15.75" thickBot="1">
      <c r="C694" s="240"/>
      <c r="D694" s="539"/>
      <c r="E694" s="314"/>
      <c r="F694" s="314"/>
      <c r="G694" s="314"/>
      <c r="H694" s="314"/>
      <c r="I694" s="709"/>
      <c r="J694" s="709"/>
      <c r="K694" s="731"/>
      <c r="L694" s="709"/>
      <c r="M694" s="709"/>
      <c r="N694" s="709"/>
      <c r="O694" s="709"/>
    </row>
    <row r="695" spans="1:17" ht="15.75">
      <c r="C695" s="660" t="s">
        <v>87</v>
      </c>
      <c r="D695" s="539"/>
      <c r="E695" s="314"/>
      <c r="F695" s="314"/>
      <c r="G695" s="314"/>
      <c r="H695" s="807"/>
      <c r="I695" s="314" t="s">
        <v>66</v>
      </c>
      <c r="J695" s="314"/>
      <c r="K695" s="427"/>
      <c r="L695" s="836">
        <f>+J701</f>
        <v>2022</v>
      </c>
      <c r="M695" s="817" t="s">
        <v>45</v>
      </c>
      <c r="N695" s="817" t="s">
        <v>46</v>
      </c>
      <c r="O695" s="818" t="s">
        <v>47</v>
      </c>
    </row>
    <row r="696" spans="1:17" ht="15.75">
      <c r="C696" s="660"/>
      <c r="D696" s="539"/>
      <c r="E696" s="314"/>
      <c r="F696" s="314"/>
      <c r="H696" s="314"/>
      <c r="I696" s="745"/>
      <c r="J696" s="745"/>
      <c r="K696" s="746"/>
      <c r="L696" s="837" t="s">
        <v>235</v>
      </c>
      <c r="M696" s="838">
        <f>VLOOKUP(J701,C708:P767,10)</f>
        <v>503904.32658087154</v>
      </c>
      <c r="N696" s="838">
        <f>VLOOKUP(J701,C708:P767,12)</f>
        <v>503904.32658087154</v>
      </c>
      <c r="O696" s="839">
        <f>+N696-M696</f>
        <v>0</v>
      </c>
    </row>
    <row r="697" spans="1:17">
      <c r="C697" s="750" t="s">
        <v>88</v>
      </c>
      <c r="D697" s="1567" t="s">
        <v>818</v>
      </c>
      <c r="E697" s="1567"/>
      <c r="F697" s="1567"/>
      <c r="G697" s="1567"/>
      <c r="H697" s="1567"/>
      <c r="I697" s="1567"/>
      <c r="J697" s="709"/>
      <c r="K697" s="731"/>
      <c r="L697" s="837" t="s">
        <v>236</v>
      </c>
      <c r="M697" s="840">
        <f>VLOOKUP(J701,C708:P767,6)</f>
        <v>512486.28408899129</v>
      </c>
      <c r="N697" s="840">
        <f>VLOOKUP(J701,C708:P767,7)</f>
        <v>512486.28408899129</v>
      </c>
      <c r="O697" s="841">
        <f>+N697-M697</f>
        <v>0</v>
      </c>
    </row>
    <row r="698" spans="1:17" ht="13.5" thickBot="1">
      <c r="C698" s="754"/>
      <c r="D698" s="755"/>
      <c r="E698" s="735"/>
      <c r="F698" s="735"/>
      <c r="G698" s="735"/>
      <c r="H698" s="756"/>
      <c r="I698" s="709"/>
      <c r="J698" s="709"/>
      <c r="K698" s="731"/>
      <c r="L698" s="773" t="s">
        <v>237</v>
      </c>
      <c r="M698" s="842">
        <f>+M697-M696</f>
        <v>8581.9575081197545</v>
      </c>
      <c r="N698" s="842">
        <f>+N697-N696</f>
        <v>8581.9575081197545</v>
      </c>
      <c r="O698" s="843">
        <f>+O697-O696</f>
        <v>0</v>
      </c>
    </row>
    <row r="699" spans="1:17" ht="13.5" thickBot="1">
      <c r="C699" s="757"/>
      <c r="D699" s="758"/>
      <c r="E699" s="756"/>
      <c r="F699" s="756"/>
      <c r="G699" s="756"/>
      <c r="H699" s="756"/>
      <c r="I699" s="756"/>
      <c r="J699" s="756"/>
      <c r="K699" s="759"/>
      <c r="L699" s="756"/>
      <c r="M699" s="756"/>
      <c r="N699" s="756"/>
      <c r="O699" s="756"/>
      <c r="P699" s="348"/>
    </row>
    <row r="700" spans="1:17" ht="13.5" thickBot="1">
      <c r="C700" s="760" t="s">
        <v>89</v>
      </c>
      <c r="D700" s="761"/>
      <c r="E700" s="761"/>
      <c r="F700" s="761"/>
      <c r="G700" s="761"/>
      <c r="H700" s="761"/>
      <c r="I700" s="761"/>
      <c r="J700" s="761"/>
      <c r="K700" s="763"/>
      <c r="P700" s="764"/>
    </row>
    <row r="701" spans="1:17" ht="15">
      <c r="C701" s="765" t="s">
        <v>67</v>
      </c>
      <c r="D701" s="809">
        <v>4358345.49</v>
      </c>
      <c r="E701" s="726" t="s">
        <v>68</v>
      </c>
      <c r="H701" s="766"/>
      <c r="I701" s="766"/>
      <c r="J701" s="767">
        <f>$J$93</f>
        <v>2022</v>
      </c>
      <c r="K701" s="555"/>
      <c r="L701" s="1569" t="s">
        <v>69</v>
      </c>
      <c r="M701" s="1569"/>
      <c r="N701" s="1569"/>
      <c r="O701" s="1569"/>
      <c r="P701" s="427"/>
    </row>
    <row r="702" spans="1:17">
      <c r="C702" s="765" t="s">
        <v>70</v>
      </c>
      <c r="D702" s="810">
        <v>2015</v>
      </c>
      <c r="E702" s="765" t="s">
        <v>71</v>
      </c>
      <c r="F702" s="766"/>
      <c r="G702" s="766"/>
      <c r="I702" s="173"/>
      <c r="J702" s="811">
        <f>IF(H695="",0,$F$17)</f>
        <v>0</v>
      </c>
      <c r="K702" s="768"/>
      <c r="L702" s="731" t="s">
        <v>277</v>
      </c>
      <c r="P702" s="427"/>
    </row>
    <row r="703" spans="1:17">
      <c r="C703" s="765" t="s">
        <v>72</v>
      </c>
      <c r="D703" s="809">
        <v>10</v>
      </c>
      <c r="E703" s="765" t="s">
        <v>73</v>
      </c>
      <c r="F703" s="766"/>
      <c r="G703" s="766"/>
      <c r="I703" s="173"/>
      <c r="J703" s="769">
        <f>$F$70</f>
        <v>0.11129362813814259</v>
      </c>
      <c r="K703" s="770"/>
      <c r="L703" s="314" t="str">
        <f>"          INPUT TRUE-UP ARR (WITH &amp; WITHOUT INCENTIVES) FROM EACH PRIOR YEAR"</f>
        <v xml:space="preserve">          INPUT TRUE-UP ARR (WITH &amp; WITHOUT INCENTIVES) FROM EACH PRIOR YEAR</v>
      </c>
      <c r="P703" s="427"/>
    </row>
    <row r="704" spans="1:17">
      <c r="C704" s="765" t="s">
        <v>74</v>
      </c>
      <c r="D704" s="771">
        <f>H$79</f>
        <v>41</v>
      </c>
      <c r="E704" s="765" t="s">
        <v>75</v>
      </c>
      <c r="F704" s="766"/>
      <c r="G704" s="766"/>
      <c r="I704" s="173"/>
      <c r="J704" s="769">
        <f>IF(H695="",+J703,$F$69)</f>
        <v>0.11129362813814259</v>
      </c>
      <c r="K704" s="772"/>
      <c r="L704" s="314" t="s">
        <v>157</v>
      </c>
      <c r="M704" s="772"/>
      <c r="N704" s="772"/>
      <c r="O704" s="772"/>
      <c r="P704" s="427"/>
    </row>
    <row r="705" spans="2:16" ht="13.5" thickBot="1">
      <c r="C705" s="765" t="s">
        <v>76</v>
      </c>
      <c r="D705" s="808" t="s">
        <v>811</v>
      </c>
      <c r="E705" s="773" t="s">
        <v>77</v>
      </c>
      <c r="F705" s="774"/>
      <c r="G705" s="774"/>
      <c r="H705" s="775"/>
      <c r="I705" s="775"/>
      <c r="J705" s="753">
        <f>IF(D701=0,0,D701/D704)</f>
        <v>106301.10951219512</v>
      </c>
      <c r="K705" s="731"/>
      <c r="L705" s="731" t="s">
        <v>158</v>
      </c>
      <c r="M705" s="731"/>
      <c r="N705" s="731"/>
      <c r="O705" s="731"/>
      <c r="P705" s="427"/>
    </row>
    <row r="706" spans="2:16" ht="38.25">
      <c r="B706" s="846"/>
      <c r="C706" s="776" t="s">
        <v>67</v>
      </c>
      <c r="D706" s="777" t="s">
        <v>78</v>
      </c>
      <c r="E706" s="778" t="s">
        <v>79</v>
      </c>
      <c r="F706" s="777" t="s">
        <v>80</v>
      </c>
      <c r="G706" s="777" t="s">
        <v>238</v>
      </c>
      <c r="H706" s="778" t="s">
        <v>151</v>
      </c>
      <c r="I706" s="779" t="s">
        <v>151</v>
      </c>
      <c r="J706" s="776" t="s">
        <v>90</v>
      </c>
      <c r="K706" s="780"/>
      <c r="L706" s="778" t="s">
        <v>153</v>
      </c>
      <c r="M706" s="778" t="s">
        <v>159</v>
      </c>
      <c r="N706" s="778" t="s">
        <v>153</v>
      </c>
      <c r="O706" s="778" t="s">
        <v>161</v>
      </c>
      <c r="P706" s="778" t="s">
        <v>81</v>
      </c>
    </row>
    <row r="707" spans="2:16" ht="13.5" thickBot="1">
      <c r="C707" s="782" t="s">
        <v>469</v>
      </c>
      <c r="D707" s="783" t="s">
        <v>470</v>
      </c>
      <c r="E707" s="782" t="s">
        <v>363</v>
      </c>
      <c r="F707" s="783" t="s">
        <v>470</v>
      </c>
      <c r="G707" s="783" t="s">
        <v>470</v>
      </c>
      <c r="H707" s="784" t="s">
        <v>93</v>
      </c>
      <c r="I707" s="785" t="s">
        <v>95</v>
      </c>
      <c r="J707" s="786" t="s">
        <v>15</v>
      </c>
      <c r="K707" s="787"/>
      <c r="L707" s="784" t="s">
        <v>82</v>
      </c>
      <c r="M707" s="784" t="s">
        <v>82</v>
      </c>
      <c r="N707" s="784" t="s">
        <v>255</v>
      </c>
      <c r="O707" s="784" t="s">
        <v>255</v>
      </c>
      <c r="P707" s="784" t="s">
        <v>255</v>
      </c>
    </row>
    <row r="708" spans="2:16">
      <c r="C708" s="789">
        <f>IF(D702= "","-",D702)</f>
        <v>2015</v>
      </c>
      <c r="D708" s="737">
        <f>+D701</f>
        <v>4358345.49</v>
      </c>
      <c r="E708" s="795">
        <f>+J705/12*(12-D703)</f>
        <v>17716.851585365854</v>
      </c>
      <c r="F708" s="844">
        <f t="shared" ref="F708:F767" si="62">+D708-E708</f>
        <v>4340628.6384146344</v>
      </c>
      <c r="G708" s="737">
        <f>+(D708+F708)/2</f>
        <v>4349487.0642073173</v>
      </c>
      <c r="H708" s="791">
        <f>+J703*G708+E708</f>
        <v>501787.04750091652</v>
      </c>
      <c r="I708" s="792">
        <f>+J704*G708+E708</f>
        <v>501787.04750091652</v>
      </c>
      <c r="J708" s="793">
        <f>+I708-H708</f>
        <v>0</v>
      </c>
      <c r="K708" s="793"/>
      <c r="L708" s="812">
        <v>366645</v>
      </c>
      <c r="M708" s="845">
        <f t="shared" ref="M708:M767" si="63">IF(L708&lt;&gt;0,+H708-L708,0)</f>
        <v>135142.04750091652</v>
      </c>
      <c r="N708" s="812">
        <v>366645</v>
      </c>
      <c r="O708" s="845">
        <f t="shared" ref="O708:O767" si="64">IF(N708&lt;&gt;0,+I708-N708,0)</f>
        <v>135142.04750091652</v>
      </c>
      <c r="P708" s="845">
        <f t="shared" ref="P708:P767" si="65">+O708-M708</f>
        <v>0</v>
      </c>
    </row>
    <row r="709" spans="2:16">
      <c r="C709" s="789">
        <f>IF(D702="","-",+C708+1)</f>
        <v>2016</v>
      </c>
      <c r="D709" s="737">
        <f t="shared" ref="D709:D761" si="66">F708</f>
        <v>4340628.6384146344</v>
      </c>
      <c r="E709" s="790">
        <f>IF(D709&gt;$J$705,$J$705,D709)</f>
        <v>106301.10951219512</v>
      </c>
      <c r="F709" s="790">
        <f t="shared" si="62"/>
        <v>4234327.5289024394</v>
      </c>
      <c r="G709" s="737">
        <f t="shared" ref="G709:G767" si="67">+(D709+F709)/2</f>
        <v>4287478.0836585369</v>
      </c>
      <c r="H709" s="795">
        <f>+J703*G709+E709</f>
        <v>583470.10100532451</v>
      </c>
      <c r="I709" s="796">
        <f>+J704*G709+E709</f>
        <v>583470.10100532451</v>
      </c>
      <c r="J709" s="793">
        <f>+I709-H709</f>
        <v>0</v>
      </c>
      <c r="K709" s="793"/>
      <c r="L709" s="813">
        <v>552054</v>
      </c>
      <c r="M709" s="793">
        <f t="shared" si="63"/>
        <v>31416.101005324512</v>
      </c>
      <c r="N709" s="813">
        <v>552054</v>
      </c>
      <c r="O709" s="793">
        <f t="shared" si="64"/>
        <v>31416.101005324512</v>
      </c>
      <c r="P709" s="793">
        <f t="shared" si="65"/>
        <v>0</v>
      </c>
    </row>
    <row r="710" spans="2:16">
      <c r="C710" s="789">
        <f>IF(D702="","-",+C709+1)</f>
        <v>2017</v>
      </c>
      <c r="D710" s="737">
        <f t="shared" si="66"/>
        <v>4234327.5289024394</v>
      </c>
      <c r="E710" s="790">
        <f t="shared" ref="E710:E767" si="68">IF(D710&gt;$J$705,$J$705,D710)</f>
        <v>106301.10951219512</v>
      </c>
      <c r="F710" s="790">
        <f t="shared" si="62"/>
        <v>4128026.4193902444</v>
      </c>
      <c r="G710" s="737">
        <f t="shared" si="67"/>
        <v>4181176.9741463419</v>
      </c>
      <c r="H710" s="795">
        <f>+J703*G710+E710</f>
        <v>571639.46485260234</v>
      </c>
      <c r="I710" s="796">
        <f>+J704*G710+E710</f>
        <v>571639.46485260234</v>
      </c>
      <c r="J710" s="793">
        <f t="shared" ref="J710:J767" si="69">+I710-H710</f>
        <v>0</v>
      </c>
      <c r="K710" s="793"/>
      <c r="L710" s="813">
        <v>493365</v>
      </c>
      <c r="M710" s="793">
        <f t="shared" si="63"/>
        <v>78274.464852602337</v>
      </c>
      <c r="N710" s="813">
        <v>493365</v>
      </c>
      <c r="O710" s="793">
        <f t="shared" si="64"/>
        <v>78274.464852602337</v>
      </c>
      <c r="P710" s="793">
        <f t="shared" si="65"/>
        <v>0</v>
      </c>
    </row>
    <row r="711" spans="2:16">
      <c r="C711" s="789">
        <f>IF(D702="","-",+C710+1)</f>
        <v>2018</v>
      </c>
      <c r="D711" s="1377">
        <f t="shared" si="66"/>
        <v>4128026.4193902444</v>
      </c>
      <c r="E711" s="790">
        <f t="shared" si="68"/>
        <v>106301.10951219512</v>
      </c>
      <c r="F711" s="790">
        <f t="shared" si="62"/>
        <v>4021725.3098780494</v>
      </c>
      <c r="G711" s="737">
        <f t="shared" si="67"/>
        <v>4074875.8646341469</v>
      </c>
      <c r="H711" s="795">
        <f>+J703*G711+E711</f>
        <v>559808.82869988016</v>
      </c>
      <c r="I711" s="796">
        <f>+J704*G711+E711</f>
        <v>559808.82869988016</v>
      </c>
      <c r="J711" s="793">
        <f t="shared" si="69"/>
        <v>0</v>
      </c>
      <c r="K711" s="793"/>
      <c r="L711" s="813">
        <v>480393</v>
      </c>
      <c r="M711" s="793">
        <f t="shared" si="63"/>
        <v>79415.828699880163</v>
      </c>
      <c r="N711" s="813">
        <v>480393</v>
      </c>
      <c r="O711" s="793">
        <f t="shared" si="64"/>
        <v>79415.828699880163</v>
      </c>
      <c r="P711" s="793">
        <f t="shared" si="65"/>
        <v>0</v>
      </c>
    </row>
    <row r="712" spans="2:16">
      <c r="C712" s="789">
        <f>IF(D702="","-",+C711+1)</f>
        <v>2019</v>
      </c>
      <c r="D712" s="737">
        <f t="shared" si="66"/>
        <v>4021725.3098780494</v>
      </c>
      <c r="E712" s="790">
        <f t="shared" si="68"/>
        <v>106301.10951219512</v>
      </c>
      <c r="F712" s="790">
        <f t="shared" si="62"/>
        <v>3915424.2003658544</v>
      </c>
      <c r="G712" s="737">
        <f t="shared" si="67"/>
        <v>3968574.7551219519</v>
      </c>
      <c r="H712" s="795">
        <f>+J703*G712+E712</f>
        <v>547978.19254715787</v>
      </c>
      <c r="I712" s="796">
        <f>+J704*G712+E712</f>
        <v>547978.19254715787</v>
      </c>
      <c r="J712" s="793">
        <f t="shared" si="69"/>
        <v>0</v>
      </c>
      <c r="K712" s="793"/>
      <c r="L712" s="813">
        <v>508708.55765431951</v>
      </c>
      <c r="M712" s="793">
        <f t="shared" si="63"/>
        <v>39269.634892838367</v>
      </c>
      <c r="N712" s="813">
        <v>508708.55765431951</v>
      </c>
      <c r="O712" s="793">
        <f t="shared" si="64"/>
        <v>39269.634892838367</v>
      </c>
      <c r="P712" s="793">
        <f t="shared" si="65"/>
        <v>0</v>
      </c>
    </row>
    <row r="713" spans="2:16">
      <c r="C713" s="789">
        <f>IF(D702="","-",+C712+1)</f>
        <v>2020</v>
      </c>
      <c r="D713" s="737">
        <f t="shared" si="66"/>
        <v>3915424.2003658544</v>
      </c>
      <c r="E713" s="790">
        <f t="shared" si="68"/>
        <v>106301.10951219512</v>
      </c>
      <c r="F713" s="790">
        <f t="shared" si="62"/>
        <v>3809123.0908536594</v>
      </c>
      <c r="G713" s="737">
        <f t="shared" si="67"/>
        <v>3862273.6456097569</v>
      </c>
      <c r="H713" s="795">
        <f>+J703*G713+E713</f>
        <v>536147.5563944357</v>
      </c>
      <c r="I713" s="796">
        <f>+J704*G713+E713</f>
        <v>536147.5563944357</v>
      </c>
      <c r="J713" s="793">
        <f t="shared" si="69"/>
        <v>0</v>
      </c>
      <c r="K713" s="793"/>
      <c r="L713" s="813">
        <v>503037.28128868516</v>
      </c>
      <c r="M713" s="793">
        <f t="shared" si="63"/>
        <v>33110.275105750537</v>
      </c>
      <c r="N713" s="813">
        <v>503037.28128868516</v>
      </c>
      <c r="O713" s="793">
        <f t="shared" si="64"/>
        <v>33110.275105750537</v>
      </c>
      <c r="P713" s="793">
        <f t="shared" si="65"/>
        <v>0</v>
      </c>
    </row>
    <row r="714" spans="2:16">
      <c r="C714" s="789">
        <f>IF(D702="","-",+C713+1)</f>
        <v>2021</v>
      </c>
      <c r="D714" s="737">
        <f t="shared" si="66"/>
        <v>3809123.0908536594</v>
      </c>
      <c r="E714" s="790">
        <f t="shared" si="68"/>
        <v>106301.10951219512</v>
      </c>
      <c r="F714" s="790">
        <f t="shared" si="62"/>
        <v>3702821.9813414644</v>
      </c>
      <c r="G714" s="737">
        <f t="shared" si="67"/>
        <v>3755972.5360975619</v>
      </c>
      <c r="H714" s="795">
        <f>+J703*G714+E714</f>
        <v>524316.92024171352</v>
      </c>
      <c r="I714" s="796">
        <f>+J704*G714+E714</f>
        <v>524316.92024171352</v>
      </c>
      <c r="J714" s="793">
        <f t="shared" si="69"/>
        <v>0</v>
      </c>
      <c r="K714" s="793"/>
      <c r="L714" s="813">
        <v>505335.19675261865</v>
      </c>
      <c r="M714" s="793">
        <f t="shared" si="63"/>
        <v>18981.723489094875</v>
      </c>
      <c r="N714" s="813">
        <v>505335.19675261865</v>
      </c>
      <c r="O714" s="793">
        <f t="shared" si="64"/>
        <v>18981.723489094875</v>
      </c>
      <c r="P714" s="793">
        <f t="shared" si="65"/>
        <v>0</v>
      </c>
    </row>
    <row r="715" spans="2:16">
      <c r="C715" s="789">
        <f>IF(D702="","-",+C714+1)</f>
        <v>2022</v>
      </c>
      <c r="D715" s="737">
        <f t="shared" si="66"/>
        <v>3702821.9813414644</v>
      </c>
      <c r="E715" s="790">
        <f t="shared" si="68"/>
        <v>106301.10951219512</v>
      </c>
      <c r="F715" s="790">
        <f t="shared" si="62"/>
        <v>3596520.8718292695</v>
      </c>
      <c r="G715" s="737">
        <f t="shared" si="67"/>
        <v>3649671.4265853669</v>
      </c>
      <c r="H715" s="795">
        <f>+J703*G715+E715</f>
        <v>512486.28408899129</v>
      </c>
      <c r="I715" s="796">
        <f>+J704*G715+E715</f>
        <v>512486.28408899129</v>
      </c>
      <c r="J715" s="793">
        <f t="shared" si="69"/>
        <v>0</v>
      </c>
      <c r="K715" s="793"/>
      <c r="L715" s="813">
        <v>503904.32658087154</v>
      </c>
      <c r="M715" s="793">
        <f t="shared" si="63"/>
        <v>8581.9575081197545</v>
      </c>
      <c r="N715" s="813">
        <v>503904.32658087154</v>
      </c>
      <c r="O715" s="793">
        <f t="shared" si="64"/>
        <v>8581.9575081197545</v>
      </c>
      <c r="P715" s="793">
        <f t="shared" si="65"/>
        <v>0</v>
      </c>
    </row>
    <row r="716" spans="2:16">
      <c r="C716" s="789">
        <f>IF(D702="","-",+C715+1)</f>
        <v>2023</v>
      </c>
      <c r="D716" s="737">
        <f t="shared" si="66"/>
        <v>3596520.8718292695</v>
      </c>
      <c r="E716" s="790">
        <f t="shared" si="68"/>
        <v>106301.10951219512</v>
      </c>
      <c r="F716" s="790">
        <f t="shared" si="62"/>
        <v>3490219.7623170745</v>
      </c>
      <c r="G716" s="737">
        <f t="shared" si="67"/>
        <v>3543370.317073172</v>
      </c>
      <c r="H716" s="795">
        <f>+J703*G716+E716</f>
        <v>500655.64793626912</v>
      </c>
      <c r="I716" s="796">
        <f>+J704*G716+E716</f>
        <v>500655.64793626912</v>
      </c>
      <c r="J716" s="793">
        <f t="shared" si="69"/>
        <v>0</v>
      </c>
      <c r="K716" s="793"/>
      <c r="L716" s="813"/>
      <c r="M716" s="793">
        <f t="shared" si="63"/>
        <v>0</v>
      </c>
      <c r="N716" s="813"/>
      <c r="O716" s="793">
        <f t="shared" si="64"/>
        <v>0</v>
      </c>
      <c r="P716" s="793">
        <f t="shared" si="65"/>
        <v>0</v>
      </c>
    </row>
    <row r="717" spans="2:16">
      <c r="C717" s="789">
        <f>IF(D702="","-",+C716+1)</f>
        <v>2024</v>
      </c>
      <c r="D717" s="737">
        <f t="shared" si="66"/>
        <v>3490219.7623170745</v>
      </c>
      <c r="E717" s="790">
        <f t="shared" si="68"/>
        <v>106301.10951219512</v>
      </c>
      <c r="F717" s="790">
        <f t="shared" si="62"/>
        <v>3383918.6528048795</v>
      </c>
      <c r="G717" s="737">
        <f t="shared" si="67"/>
        <v>3437069.207560977</v>
      </c>
      <c r="H717" s="795">
        <f>+J703*G717+E717</f>
        <v>488825.01178354688</v>
      </c>
      <c r="I717" s="796">
        <f>+J704*G717+E717</f>
        <v>488825.01178354688</v>
      </c>
      <c r="J717" s="793">
        <f t="shared" si="69"/>
        <v>0</v>
      </c>
      <c r="K717" s="793"/>
      <c r="L717" s="813"/>
      <c r="M717" s="793">
        <f t="shared" si="63"/>
        <v>0</v>
      </c>
      <c r="N717" s="813"/>
      <c r="O717" s="793">
        <f t="shared" si="64"/>
        <v>0</v>
      </c>
      <c r="P717" s="793">
        <f t="shared" si="65"/>
        <v>0</v>
      </c>
    </row>
    <row r="718" spans="2:16">
      <c r="C718" s="789">
        <f>IF(D702="","-",+C717+1)</f>
        <v>2025</v>
      </c>
      <c r="D718" s="737">
        <f t="shared" si="66"/>
        <v>3383918.6528048795</v>
      </c>
      <c r="E718" s="790">
        <f t="shared" si="68"/>
        <v>106301.10951219512</v>
      </c>
      <c r="F718" s="790">
        <f t="shared" si="62"/>
        <v>3277617.5432926845</v>
      </c>
      <c r="G718" s="737">
        <f t="shared" si="67"/>
        <v>3330768.098048782</v>
      </c>
      <c r="H718" s="795">
        <f>+J703*G718+E718</f>
        <v>476994.37563082471</v>
      </c>
      <c r="I718" s="796">
        <f>+J704*G718+E718</f>
        <v>476994.37563082471</v>
      </c>
      <c r="J718" s="793">
        <f t="shared" si="69"/>
        <v>0</v>
      </c>
      <c r="K718" s="793"/>
      <c r="L718" s="813"/>
      <c r="M718" s="793">
        <f t="shared" si="63"/>
        <v>0</v>
      </c>
      <c r="N718" s="813"/>
      <c r="O718" s="793">
        <f t="shared" si="64"/>
        <v>0</v>
      </c>
      <c r="P718" s="793">
        <f t="shared" si="65"/>
        <v>0</v>
      </c>
    </row>
    <row r="719" spans="2:16">
      <c r="C719" s="789">
        <f>IF(D702="","-",+C718+1)</f>
        <v>2026</v>
      </c>
      <c r="D719" s="737">
        <f t="shared" si="66"/>
        <v>3277617.5432926845</v>
      </c>
      <c r="E719" s="790">
        <f t="shared" si="68"/>
        <v>106301.10951219512</v>
      </c>
      <c r="F719" s="790">
        <f t="shared" si="62"/>
        <v>3171316.4337804895</v>
      </c>
      <c r="G719" s="737">
        <f t="shared" si="67"/>
        <v>3224466.988536587</v>
      </c>
      <c r="H719" s="795">
        <f>+J703*G719+E719</f>
        <v>465163.73947810248</v>
      </c>
      <c r="I719" s="796">
        <f>+J704*G719+E719</f>
        <v>465163.73947810248</v>
      </c>
      <c r="J719" s="793">
        <f t="shared" si="69"/>
        <v>0</v>
      </c>
      <c r="K719" s="793"/>
      <c r="L719" s="813"/>
      <c r="M719" s="793">
        <f t="shared" si="63"/>
        <v>0</v>
      </c>
      <c r="N719" s="813"/>
      <c r="O719" s="793">
        <f t="shared" si="64"/>
        <v>0</v>
      </c>
      <c r="P719" s="793">
        <f t="shared" si="65"/>
        <v>0</v>
      </c>
    </row>
    <row r="720" spans="2:16">
      <c r="C720" s="789">
        <f>IF(D702="","-",+C719+1)</f>
        <v>2027</v>
      </c>
      <c r="D720" s="737">
        <f t="shared" si="66"/>
        <v>3171316.4337804895</v>
      </c>
      <c r="E720" s="790">
        <f t="shared" si="68"/>
        <v>106301.10951219512</v>
      </c>
      <c r="F720" s="790">
        <f t="shared" si="62"/>
        <v>3065015.3242682945</v>
      </c>
      <c r="G720" s="737">
        <f t="shared" si="67"/>
        <v>3118165.879024392</v>
      </c>
      <c r="H720" s="795">
        <f>+J703*G720+E720</f>
        <v>453333.1033253803</v>
      </c>
      <c r="I720" s="796">
        <f>+J704*G720+E720</f>
        <v>453333.1033253803</v>
      </c>
      <c r="J720" s="793">
        <f t="shared" si="69"/>
        <v>0</v>
      </c>
      <c r="K720" s="793"/>
      <c r="L720" s="813"/>
      <c r="M720" s="793">
        <f t="shared" si="63"/>
        <v>0</v>
      </c>
      <c r="N720" s="813"/>
      <c r="O720" s="793">
        <f t="shared" si="64"/>
        <v>0</v>
      </c>
      <c r="P720" s="793">
        <f t="shared" si="65"/>
        <v>0</v>
      </c>
    </row>
    <row r="721" spans="3:16">
      <c r="C721" s="789">
        <f>IF(D702="","-",+C720+1)</f>
        <v>2028</v>
      </c>
      <c r="D721" s="737">
        <f t="shared" si="66"/>
        <v>3065015.3242682945</v>
      </c>
      <c r="E721" s="790">
        <f t="shared" si="68"/>
        <v>106301.10951219512</v>
      </c>
      <c r="F721" s="790">
        <f t="shared" si="62"/>
        <v>2958714.2147560995</v>
      </c>
      <c r="G721" s="737">
        <f t="shared" si="67"/>
        <v>3011864.769512197</v>
      </c>
      <c r="H721" s="795">
        <f>+J703*G721+E721</f>
        <v>441502.46717265807</v>
      </c>
      <c r="I721" s="796">
        <f>+J704*G721+E721</f>
        <v>441502.46717265807</v>
      </c>
      <c r="J721" s="793">
        <f t="shared" si="69"/>
        <v>0</v>
      </c>
      <c r="K721" s="793"/>
      <c r="L721" s="813"/>
      <c r="M721" s="793">
        <f t="shared" si="63"/>
        <v>0</v>
      </c>
      <c r="N721" s="813"/>
      <c r="O721" s="793">
        <f t="shared" si="64"/>
        <v>0</v>
      </c>
      <c r="P721" s="793">
        <f t="shared" si="65"/>
        <v>0</v>
      </c>
    </row>
    <row r="722" spans="3:16">
      <c r="C722" s="789">
        <f>IF(D702="","-",+C721+1)</f>
        <v>2029</v>
      </c>
      <c r="D722" s="737">
        <f t="shared" si="66"/>
        <v>2958714.2147560995</v>
      </c>
      <c r="E722" s="790">
        <f t="shared" si="68"/>
        <v>106301.10951219512</v>
      </c>
      <c r="F722" s="790">
        <f t="shared" si="62"/>
        <v>2852413.1052439045</v>
      </c>
      <c r="G722" s="737">
        <f t="shared" si="67"/>
        <v>2905563.660000002</v>
      </c>
      <c r="H722" s="795">
        <f>+J703*G722+E722</f>
        <v>429671.8310199359</v>
      </c>
      <c r="I722" s="796">
        <f>+J704*G722+E722</f>
        <v>429671.8310199359</v>
      </c>
      <c r="J722" s="793">
        <f t="shared" si="69"/>
        <v>0</v>
      </c>
      <c r="K722" s="793"/>
      <c r="L722" s="813"/>
      <c r="M722" s="793">
        <f t="shared" si="63"/>
        <v>0</v>
      </c>
      <c r="N722" s="813"/>
      <c r="O722" s="793">
        <f t="shared" si="64"/>
        <v>0</v>
      </c>
      <c r="P722" s="793">
        <f t="shared" si="65"/>
        <v>0</v>
      </c>
    </row>
    <row r="723" spans="3:16">
      <c r="C723" s="789">
        <f>IF(D702="","-",+C722+1)</f>
        <v>2030</v>
      </c>
      <c r="D723" s="737">
        <f t="shared" si="66"/>
        <v>2852413.1052439045</v>
      </c>
      <c r="E723" s="790">
        <f t="shared" si="68"/>
        <v>106301.10951219512</v>
      </c>
      <c r="F723" s="790">
        <f t="shared" si="62"/>
        <v>2746111.9957317095</v>
      </c>
      <c r="G723" s="737">
        <f t="shared" si="67"/>
        <v>2799262.550487807</v>
      </c>
      <c r="H723" s="795">
        <f>+J703*G723+E723</f>
        <v>417841.19486721366</v>
      </c>
      <c r="I723" s="796">
        <f>+J704*G723+E723</f>
        <v>417841.19486721366</v>
      </c>
      <c r="J723" s="793">
        <f t="shared" si="69"/>
        <v>0</v>
      </c>
      <c r="K723" s="793"/>
      <c r="L723" s="813"/>
      <c r="M723" s="793">
        <f t="shared" si="63"/>
        <v>0</v>
      </c>
      <c r="N723" s="813"/>
      <c r="O723" s="793">
        <f t="shared" si="64"/>
        <v>0</v>
      </c>
      <c r="P723" s="793">
        <f t="shared" si="65"/>
        <v>0</v>
      </c>
    </row>
    <row r="724" spans="3:16">
      <c r="C724" s="789">
        <f>IF(D702="","-",+C723+1)</f>
        <v>2031</v>
      </c>
      <c r="D724" s="737">
        <f t="shared" si="66"/>
        <v>2746111.9957317095</v>
      </c>
      <c r="E724" s="790">
        <f t="shared" si="68"/>
        <v>106301.10951219512</v>
      </c>
      <c r="F724" s="790">
        <f t="shared" si="62"/>
        <v>2639810.8862195145</v>
      </c>
      <c r="G724" s="737">
        <f t="shared" si="67"/>
        <v>2692961.440975612</v>
      </c>
      <c r="H724" s="795">
        <f>+J703*G724+E724</f>
        <v>406010.55871449149</v>
      </c>
      <c r="I724" s="796">
        <f>+J704*G724+E724</f>
        <v>406010.55871449149</v>
      </c>
      <c r="J724" s="793">
        <f t="shared" si="69"/>
        <v>0</v>
      </c>
      <c r="K724" s="793"/>
      <c r="L724" s="813"/>
      <c r="M724" s="793">
        <f t="shared" si="63"/>
        <v>0</v>
      </c>
      <c r="N724" s="813"/>
      <c r="O724" s="793">
        <f t="shared" si="64"/>
        <v>0</v>
      </c>
      <c r="P724" s="793">
        <f t="shared" si="65"/>
        <v>0</v>
      </c>
    </row>
    <row r="725" spans="3:16">
      <c r="C725" s="789">
        <f>IF(D702="","-",+C724+1)</f>
        <v>2032</v>
      </c>
      <c r="D725" s="737">
        <f t="shared" si="66"/>
        <v>2639810.8862195145</v>
      </c>
      <c r="E725" s="790">
        <f t="shared" si="68"/>
        <v>106301.10951219512</v>
      </c>
      <c r="F725" s="790">
        <f t="shared" si="62"/>
        <v>2533509.7767073195</v>
      </c>
      <c r="G725" s="737">
        <f t="shared" si="67"/>
        <v>2586660.331463417</v>
      </c>
      <c r="H725" s="795">
        <f>+J703*G725+E725</f>
        <v>394179.92256176932</v>
      </c>
      <c r="I725" s="796">
        <f>+J704*G725+E725</f>
        <v>394179.92256176932</v>
      </c>
      <c r="J725" s="793">
        <f t="shared" si="69"/>
        <v>0</v>
      </c>
      <c r="K725" s="793"/>
      <c r="L725" s="813"/>
      <c r="M725" s="793">
        <f t="shared" si="63"/>
        <v>0</v>
      </c>
      <c r="N725" s="813"/>
      <c r="O725" s="793">
        <f t="shared" si="64"/>
        <v>0</v>
      </c>
      <c r="P725" s="793">
        <f t="shared" si="65"/>
        <v>0</v>
      </c>
    </row>
    <row r="726" spans="3:16">
      <c r="C726" s="789">
        <f>IF(D702="","-",+C725+1)</f>
        <v>2033</v>
      </c>
      <c r="D726" s="737">
        <f t="shared" si="66"/>
        <v>2533509.7767073195</v>
      </c>
      <c r="E726" s="790">
        <f t="shared" si="68"/>
        <v>106301.10951219512</v>
      </c>
      <c r="F726" s="790">
        <f t="shared" si="62"/>
        <v>2427208.6671951246</v>
      </c>
      <c r="G726" s="737">
        <f t="shared" si="67"/>
        <v>2480359.221951222</v>
      </c>
      <c r="H726" s="795">
        <f>+J703*G726+E726</f>
        <v>382349.28640904708</v>
      </c>
      <c r="I726" s="796">
        <f>+J704*G726+E726</f>
        <v>382349.28640904708</v>
      </c>
      <c r="J726" s="793">
        <f t="shared" si="69"/>
        <v>0</v>
      </c>
      <c r="K726" s="793"/>
      <c r="L726" s="813"/>
      <c r="M726" s="793">
        <f t="shared" si="63"/>
        <v>0</v>
      </c>
      <c r="N726" s="813"/>
      <c r="O726" s="793">
        <f t="shared" si="64"/>
        <v>0</v>
      </c>
      <c r="P726" s="793">
        <f t="shared" si="65"/>
        <v>0</v>
      </c>
    </row>
    <row r="727" spans="3:16">
      <c r="C727" s="789">
        <f>IF(D702="","-",+C726+1)</f>
        <v>2034</v>
      </c>
      <c r="D727" s="737">
        <f t="shared" si="66"/>
        <v>2427208.6671951246</v>
      </c>
      <c r="E727" s="790">
        <f t="shared" si="68"/>
        <v>106301.10951219512</v>
      </c>
      <c r="F727" s="790">
        <f t="shared" si="62"/>
        <v>2320907.5576829296</v>
      </c>
      <c r="G727" s="737">
        <f t="shared" si="67"/>
        <v>2374058.1124390271</v>
      </c>
      <c r="H727" s="795">
        <f>+J703*G727+E727</f>
        <v>370518.65025632491</v>
      </c>
      <c r="I727" s="796">
        <f>+J704*G727+E727</f>
        <v>370518.65025632491</v>
      </c>
      <c r="J727" s="793">
        <f t="shared" si="69"/>
        <v>0</v>
      </c>
      <c r="K727" s="793"/>
      <c r="L727" s="813"/>
      <c r="M727" s="793">
        <f t="shared" si="63"/>
        <v>0</v>
      </c>
      <c r="N727" s="813"/>
      <c r="O727" s="793">
        <f t="shared" si="64"/>
        <v>0</v>
      </c>
      <c r="P727" s="793">
        <f t="shared" si="65"/>
        <v>0</v>
      </c>
    </row>
    <row r="728" spans="3:16">
      <c r="C728" s="789">
        <f>IF(D702="","-",+C727+1)</f>
        <v>2035</v>
      </c>
      <c r="D728" s="737">
        <f t="shared" si="66"/>
        <v>2320907.5576829296</v>
      </c>
      <c r="E728" s="790">
        <f t="shared" si="68"/>
        <v>106301.10951219512</v>
      </c>
      <c r="F728" s="790">
        <f t="shared" si="62"/>
        <v>2214606.4481707346</v>
      </c>
      <c r="G728" s="737">
        <f t="shared" si="67"/>
        <v>2267757.0029268321</v>
      </c>
      <c r="H728" s="795">
        <f>+J703*G728+E728</f>
        <v>358688.01410360268</v>
      </c>
      <c r="I728" s="796">
        <f>+J704*G728+E728</f>
        <v>358688.01410360268</v>
      </c>
      <c r="J728" s="793">
        <f t="shared" si="69"/>
        <v>0</v>
      </c>
      <c r="K728" s="793"/>
      <c r="L728" s="813"/>
      <c r="M728" s="793">
        <f t="shared" si="63"/>
        <v>0</v>
      </c>
      <c r="N728" s="813"/>
      <c r="O728" s="793">
        <f t="shared" si="64"/>
        <v>0</v>
      </c>
      <c r="P728" s="793">
        <f t="shared" si="65"/>
        <v>0</v>
      </c>
    </row>
    <row r="729" spans="3:16">
      <c r="C729" s="789">
        <f>IF(D702="","-",+C728+1)</f>
        <v>2036</v>
      </c>
      <c r="D729" s="737">
        <f t="shared" si="66"/>
        <v>2214606.4481707346</v>
      </c>
      <c r="E729" s="790">
        <f t="shared" si="68"/>
        <v>106301.10951219512</v>
      </c>
      <c r="F729" s="790">
        <f t="shared" si="62"/>
        <v>2108305.3386585396</v>
      </c>
      <c r="G729" s="737">
        <f t="shared" si="67"/>
        <v>2161455.8934146371</v>
      </c>
      <c r="H729" s="795">
        <f>+J703*G729+E729</f>
        <v>346857.3779508805</v>
      </c>
      <c r="I729" s="796">
        <f>+J704*G729+E729</f>
        <v>346857.3779508805</v>
      </c>
      <c r="J729" s="793">
        <f t="shared" si="69"/>
        <v>0</v>
      </c>
      <c r="K729" s="793"/>
      <c r="L729" s="813"/>
      <c r="M729" s="793">
        <f t="shared" si="63"/>
        <v>0</v>
      </c>
      <c r="N729" s="813"/>
      <c r="O729" s="793">
        <f t="shared" si="64"/>
        <v>0</v>
      </c>
      <c r="P729" s="793">
        <f t="shared" si="65"/>
        <v>0</v>
      </c>
    </row>
    <row r="730" spans="3:16">
      <c r="C730" s="789">
        <f>IF(D702="","-",+C729+1)</f>
        <v>2037</v>
      </c>
      <c r="D730" s="737">
        <f t="shared" si="66"/>
        <v>2108305.3386585396</v>
      </c>
      <c r="E730" s="790">
        <f t="shared" si="68"/>
        <v>106301.10951219512</v>
      </c>
      <c r="F730" s="790">
        <f t="shared" si="62"/>
        <v>2002004.2291463444</v>
      </c>
      <c r="G730" s="737">
        <f t="shared" si="67"/>
        <v>2055154.7839024421</v>
      </c>
      <c r="H730" s="795">
        <f>+J703*G730+E730</f>
        <v>335026.74179815827</v>
      </c>
      <c r="I730" s="796">
        <f>+J704*G730+E730</f>
        <v>335026.74179815827</v>
      </c>
      <c r="J730" s="793">
        <f t="shared" si="69"/>
        <v>0</v>
      </c>
      <c r="K730" s="793"/>
      <c r="L730" s="813"/>
      <c r="M730" s="793">
        <f t="shared" si="63"/>
        <v>0</v>
      </c>
      <c r="N730" s="813"/>
      <c r="O730" s="793">
        <f t="shared" si="64"/>
        <v>0</v>
      </c>
      <c r="P730" s="793">
        <f t="shared" si="65"/>
        <v>0</v>
      </c>
    </row>
    <row r="731" spans="3:16">
      <c r="C731" s="789">
        <f>IF(D702="","-",+C730+1)</f>
        <v>2038</v>
      </c>
      <c r="D731" s="737">
        <f t="shared" si="66"/>
        <v>2002004.2291463444</v>
      </c>
      <c r="E731" s="790">
        <f t="shared" si="68"/>
        <v>106301.10951219512</v>
      </c>
      <c r="F731" s="790">
        <f t="shared" si="62"/>
        <v>1895703.1196341491</v>
      </c>
      <c r="G731" s="737">
        <f t="shared" si="67"/>
        <v>1948853.6743902466</v>
      </c>
      <c r="H731" s="795">
        <f>+J703*G731+E731</f>
        <v>323196.10564543604</v>
      </c>
      <c r="I731" s="796">
        <f>+J704*G731+E731</f>
        <v>323196.10564543604</v>
      </c>
      <c r="J731" s="793">
        <f t="shared" si="69"/>
        <v>0</v>
      </c>
      <c r="K731" s="793"/>
      <c r="L731" s="813"/>
      <c r="M731" s="793">
        <f t="shared" si="63"/>
        <v>0</v>
      </c>
      <c r="N731" s="813"/>
      <c r="O731" s="793">
        <f t="shared" si="64"/>
        <v>0</v>
      </c>
      <c r="P731" s="793">
        <f t="shared" si="65"/>
        <v>0</v>
      </c>
    </row>
    <row r="732" spans="3:16">
      <c r="C732" s="789">
        <f>IF(D702="","-",+C731+1)</f>
        <v>2039</v>
      </c>
      <c r="D732" s="737">
        <f t="shared" si="66"/>
        <v>1895703.1196341491</v>
      </c>
      <c r="E732" s="790">
        <f t="shared" si="68"/>
        <v>106301.10951219512</v>
      </c>
      <c r="F732" s="790">
        <f t="shared" si="62"/>
        <v>1789402.0101219539</v>
      </c>
      <c r="G732" s="737">
        <f t="shared" si="67"/>
        <v>1842552.5648780516</v>
      </c>
      <c r="H732" s="795">
        <f>+J703*G732+E732</f>
        <v>311365.46949271386</v>
      </c>
      <c r="I732" s="796">
        <f>+J704*G732+E732</f>
        <v>311365.46949271386</v>
      </c>
      <c r="J732" s="793">
        <f t="shared" si="69"/>
        <v>0</v>
      </c>
      <c r="K732" s="793"/>
      <c r="L732" s="813"/>
      <c r="M732" s="793">
        <f t="shared" si="63"/>
        <v>0</v>
      </c>
      <c r="N732" s="813"/>
      <c r="O732" s="793">
        <f t="shared" si="64"/>
        <v>0</v>
      </c>
      <c r="P732" s="793">
        <f t="shared" si="65"/>
        <v>0</v>
      </c>
    </row>
    <row r="733" spans="3:16">
      <c r="C733" s="789">
        <f>IF(D702="","-",+C732+1)</f>
        <v>2040</v>
      </c>
      <c r="D733" s="737">
        <f t="shared" si="66"/>
        <v>1789402.0101219539</v>
      </c>
      <c r="E733" s="790">
        <f t="shared" si="68"/>
        <v>106301.10951219512</v>
      </c>
      <c r="F733" s="790">
        <f t="shared" si="62"/>
        <v>1683100.9006097587</v>
      </c>
      <c r="G733" s="737">
        <f t="shared" si="67"/>
        <v>1736251.4553658562</v>
      </c>
      <c r="H733" s="795">
        <f>+J703*G733+E733</f>
        <v>299534.83333999157</v>
      </c>
      <c r="I733" s="796">
        <f>+J704*G733+E733</f>
        <v>299534.83333999157</v>
      </c>
      <c r="J733" s="793">
        <f t="shared" si="69"/>
        <v>0</v>
      </c>
      <c r="K733" s="793"/>
      <c r="L733" s="813"/>
      <c r="M733" s="793">
        <f t="shared" si="63"/>
        <v>0</v>
      </c>
      <c r="N733" s="813"/>
      <c r="O733" s="793">
        <f t="shared" si="64"/>
        <v>0</v>
      </c>
      <c r="P733" s="793">
        <f t="shared" si="65"/>
        <v>0</v>
      </c>
    </row>
    <row r="734" spans="3:16">
      <c r="C734" s="789">
        <f>IF(D702="","-",+C733+1)</f>
        <v>2041</v>
      </c>
      <c r="D734" s="737">
        <f t="shared" si="66"/>
        <v>1683100.9006097587</v>
      </c>
      <c r="E734" s="790">
        <f t="shared" si="68"/>
        <v>106301.10951219512</v>
      </c>
      <c r="F734" s="790">
        <f t="shared" si="62"/>
        <v>1576799.7910975635</v>
      </c>
      <c r="G734" s="737">
        <f t="shared" si="67"/>
        <v>1629950.3458536612</v>
      </c>
      <c r="H734" s="795">
        <f>+J703*G734+E734</f>
        <v>287704.1971872694</v>
      </c>
      <c r="I734" s="796">
        <f>+J704*G734+E734</f>
        <v>287704.1971872694</v>
      </c>
      <c r="J734" s="793">
        <f t="shared" si="69"/>
        <v>0</v>
      </c>
      <c r="K734" s="793"/>
      <c r="L734" s="813"/>
      <c r="M734" s="793">
        <f t="shared" si="63"/>
        <v>0</v>
      </c>
      <c r="N734" s="813"/>
      <c r="O734" s="793">
        <f t="shared" si="64"/>
        <v>0</v>
      </c>
      <c r="P734" s="793">
        <f t="shared" si="65"/>
        <v>0</v>
      </c>
    </row>
    <row r="735" spans="3:16">
      <c r="C735" s="789">
        <f>IF(D702="","-",+C734+1)</f>
        <v>2042</v>
      </c>
      <c r="D735" s="737">
        <f t="shared" si="66"/>
        <v>1576799.7910975635</v>
      </c>
      <c r="E735" s="790">
        <f t="shared" si="68"/>
        <v>106301.10951219512</v>
      </c>
      <c r="F735" s="790">
        <f t="shared" si="62"/>
        <v>1470498.6815853682</v>
      </c>
      <c r="G735" s="737">
        <f t="shared" si="67"/>
        <v>1523649.2363414657</v>
      </c>
      <c r="H735" s="795">
        <f>+J703*G735+E735</f>
        <v>275873.56103454717</v>
      </c>
      <c r="I735" s="796">
        <f>+J704*G735+E735</f>
        <v>275873.56103454717</v>
      </c>
      <c r="J735" s="793">
        <f t="shared" si="69"/>
        <v>0</v>
      </c>
      <c r="K735" s="793"/>
      <c r="L735" s="813"/>
      <c r="M735" s="793">
        <f t="shared" si="63"/>
        <v>0</v>
      </c>
      <c r="N735" s="813"/>
      <c r="O735" s="793">
        <f t="shared" si="64"/>
        <v>0</v>
      </c>
      <c r="P735" s="793">
        <f t="shared" si="65"/>
        <v>0</v>
      </c>
    </row>
    <row r="736" spans="3:16">
      <c r="C736" s="789">
        <f>IF(D702="","-",+C735+1)</f>
        <v>2043</v>
      </c>
      <c r="D736" s="737">
        <f t="shared" si="66"/>
        <v>1470498.6815853682</v>
      </c>
      <c r="E736" s="790">
        <f t="shared" si="68"/>
        <v>106301.10951219512</v>
      </c>
      <c r="F736" s="790">
        <f t="shared" si="62"/>
        <v>1364197.572073173</v>
      </c>
      <c r="G736" s="737">
        <f t="shared" si="67"/>
        <v>1417348.1268292707</v>
      </c>
      <c r="H736" s="795">
        <f>+J703*G736+E736</f>
        <v>264042.92488182493</v>
      </c>
      <c r="I736" s="796">
        <f>+J704*G736+E736</f>
        <v>264042.92488182493</v>
      </c>
      <c r="J736" s="793">
        <f t="shared" si="69"/>
        <v>0</v>
      </c>
      <c r="K736" s="793"/>
      <c r="L736" s="813"/>
      <c r="M736" s="793">
        <f t="shared" si="63"/>
        <v>0</v>
      </c>
      <c r="N736" s="813"/>
      <c r="O736" s="793">
        <f t="shared" si="64"/>
        <v>0</v>
      </c>
      <c r="P736" s="793">
        <f t="shared" si="65"/>
        <v>0</v>
      </c>
    </row>
    <row r="737" spans="3:16">
      <c r="C737" s="789">
        <f>IF(D702="","-",+C736+1)</f>
        <v>2044</v>
      </c>
      <c r="D737" s="737">
        <f t="shared" si="66"/>
        <v>1364197.572073173</v>
      </c>
      <c r="E737" s="790">
        <f t="shared" si="68"/>
        <v>106301.10951219512</v>
      </c>
      <c r="F737" s="790">
        <f t="shared" si="62"/>
        <v>1257896.4625609778</v>
      </c>
      <c r="G737" s="737">
        <f t="shared" si="67"/>
        <v>1311047.0173170753</v>
      </c>
      <c r="H737" s="795">
        <f>+J703*G737+E737</f>
        <v>252212.2887291027</v>
      </c>
      <c r="I737" s="796">
        <f>+J704*G737+E737</f>
        <v>252212.2887291027</v>
      </c>
      <c r="J737" s="793">
        <f t="shared" si="69"/>
        <v>0</v>
      </c>
      <c r="K737" s="793"/>
      <c r="L737" s="813"/>
      <c r="M737" s="793">
        <f t="shared" si="63"/>
        <v>0</v>
      </c>
      <c r="N737" s="813"/>
      <c r="O737" s="793">
        <f t="shared" si="64"/>
        <v>0</v>
      </c>
      <c r="P737" s="793">
        <f t="shared" si="65"/>
        <v>0</v>
      </c>
    </row>
    <row r="738" spans="3:16">
      <c r="C738" s="789">
        <f>IF(D702="","-",+C737+1)</f>
        <v>2045</v>
      </c>
      <c r="D738" s="737">
        <f t="shared" si="66"/>
        <v>1257896.4625609778</v>
      </c>
      <c r="E738" s="790">
        <f t="shared" si="68"/>
        <v>106301.10951219512</v>
      </c>
      <c r="F738" s="790">
        <f t="shared" si="62"/>
        <v>1151595.3530487826</v>
      </c>
      <c r="G738" s="737">
        <f t="shared" si="67"/>
        <v>1204745.9078048803</v>
      </c>
      <c r="H738" s="795">
        <f>+J703*G738+E738</f>
        <v>240381.65257638047</v>
      </c>
      <c r="I738" s="796">
        <f>+J704*G738+E738</f>
        <v>240381.65257638047</v>
      </c>
      <c r="J738" s="793">
        <f t="shared" si="69"/>
        <v>0</v>
      </c>
      <c r="K738" s="793"/>
      <c r="L738" s="813"/>
      <c r="M738" s="793">
        <f t="shared" si="63"/>
        <v>0</v>
      </c>
      <c r="N738" s="813"/>
      <c r="O738" s="793">
        <f t="shared" si="64"/>
        <v>0</v>
      </c>
      <c r="P738" s="793">
        <f t="shared" si="65"/>
        <v>0</v>
      </c>
    </row>
    <row r="739" spans="3:16">
      <c r="C739" s="789">
        <f>IF(D702="","-",+C738+1)</f>
        <v>2046</v>
      </c>
      <c r="D739" s="737">
        <f t="shared" si="66"/>
        <v>1151595.3530487826</v>
      </c>
      <c r="E739" s="790">
        <f t="shared" si="68"/>
        <v>106301.10951219512</v>
      </c>
      <c r="F739" s="790">
        <f t="shared" si="62"/>
        <v>1045294.2435365875</v>
      </c>
      <c r="G739" s="737">
        <f t="shared" si="67"/>
        <v>1098444.7982926851</v>
      </c>
      <c r="H739" s="795">
        <f>+J703*G739+E739</f>
        <v>228551.01642365823</v>
      </c>
      <c r="I739" s="796">
        <f>+J704*G739+E739</f>
        <v>228551.01642365823</v>
      </c>
      <c r="J739" s="793">
        <f t="shared" si="69"/>
        <v>0</v>
      </c>
      <c r="K739" s="793"/>
      <c r="L739" s="813"/>
      <c r="M739" s="793">
        <f t="shared" si="63"/>
        <v>0</v>
      </c>
      <c r="N739" s="813"/>
      <c r="O739" s="793">
        <f t="shared" si="64"/>
        <v>0</v>
      </c>
      <c r="P739" s="793">
        <f t="shared" si="65"/>
        <v>0</v>
      </c>
    </row>
    <row r="740" spans="3:16">
      <c r="C740" s="789">
        <f>IF(D702="","-",+C739+1)</f>
        <v>2047</v>
      </c>
      <c r="D740" s="737">
        <f t="shared" si="66"/>
        <v>1045294.2435365875</v>
      </c>
      <c r="E740" s="790">
        <f t="shared" si="68"/>
        <v>106301.10951219512</v>
      </c>
      <c r="F740" s="790">
        <f t="shared" si="62"/>
        <v>938993.13402439235</v>
      </c>
      <c r="G740" s="737">
        <f t="shared" si="67"/>
        <v>992143.68878048984</v>
      </c>
      <c r="H740" s="795">
        <f>+J703*G740+E740</f>
        <v>216720.38027093603</v>
      </c>
      <c r="I740" s="796">
        <f>+J704*G740+E740</f>
        <v>216720.38027093603</v>
      </c>
      <c r="J740" s="793">
        <f t="shared" si="69"/>
        <v>0</v>
      </c>
      <c r="K740" s="793"/>
      <c r="L740" s="813"/>
      <c r="M740" s="793">
        <f t="shared" si="63"/>
        <v>0</v>
      </c>
      <c r="N740" s="813"/>
      <c r="O740" s="793">
        <f t="shared" si="64"/>
        <v>0</v>
      </c>
      <c r="P740" s="793">
        <f t="shared" si="65"/>
        <v>0</v>
      </c>
    </row>
    <row r="741" spans="3:16">
      <c r="C741" s="789">
        <f>IF(D702="","-",+C740+1)</f>
        <v>2048</v>
      </c>
      <c r="D741" s="737">
        <f t="shared" si="66"/>
        <v>938993.13402439235</v>
      </c>
      <c r="E741" s="790">
        <f t="shared" si="68"/>
        <v>106301.10951219512</v>
      </c>
      <c r="F741" s="790">
        <f t="shared" si="62"/>
        <v>832692.02451219724</v>
      </c>
      <c r="G741" s="737">
        <f t="shared" si="67"/>
        <v>885842.57926829485</v>
      </c>
      <c r="H741" s="795">
        <f>+J703*G741+E741</f>
        <v>204889.74411821383</v>
      </c>
      <c r="I741" s="796">
        <f>+J704*G741+E741</f>
        <v>204889.74411821383</v>
      </c>
      <c r="J741" s="793">
        <f t="shared" si="69"/>
        <v>0</v>
      </c>
      <c r="K741" s="793"/>
      <c r="L741" s="813"/>
      <c r="M741" s="793">
        <f t="shared" si="63"/>
        <v>0</v>
      </c>
      <c r="N741" s="813"/>
      <c r="O741" s="793">
        <f t="shared" si="64"/>
        <v>0</v>
      </c>
      <c r="P741" s="793">
        <f t="shared" si="65"/>
        <v>0</v>
      </c>
    </row>
    <row r="742" spans="3:16">
      <c r="C742" s="789">
        <f>IF(D702="","-",+C741+1)</f>
        <v>2049</v>
      </c>
      <c r="D742" s="737">
        <f t="shared" si="66"/>
        <v>832692.02451219724</v>
      </c>
      <c r="E742" s="790">
        <f t="shared" si="68"/>
        <v>106301.10951219512</v>
      </c>
      <c r="F742" s="790">
        <f t="shared" si="62"/>
        <v>726390.91500000213</v>
      </c>
      <c r="G742" s="737">
        <f t="shared" si="67"/>
        <v>779541.46975609963</v>
      </c>
      <c r="H742" s="795">
        <f>+J703*G742+E742</f>
        <v>193059.1079654916</v>
      </c>
      <c r="I742" s="796">
        <f>+J704*G742+E742</f>
        <v>193059.1079654916</v>
      </c>
      <c r="J742" s="793">
        <f t="shared" si="69"/>
        <v>0</v>
      </c>
      <c r="K742" s="793"/>
      <c r="L742" s="813"/>
      <c r="M742" s="793">
        <f t="shared" si="63"/>
        <v>0</v>
      </c>
      <c r="N742" s="813"/>
      <c r="O742" s="793">
        <f t="shared" si="64"/>
        <v>0</v>
      </c>
      <c r="P742" s="793">
        <f t="shared" si="65"/>
        <v>0</v>
      </c>
    </row>
    <row r="743" spans="3:16">
      <c r="C743" s="789">
        <f>IF(D702="","-",+C742+1)</f>
        <v>2050</v>
      </c>
      <c r="D743" s="737">
        <f t="shared" si="66"/>
        <v>726390.91500000213</v>
      </c>
      <c r="E743" s="790">
        <f t="shared" si="68"/>
        <v>106301.10951219512</v>
      </c>
      <c r="F743" s="790">
        <f t="shared" si="62"/>
        <v>620089.80548780703</v>
      </c>
      <c r="G743" s="737">
        <f t="shared" si="67"/>
        <v>673240.36024390464</v>
      </c>
      <c r="H743" s="795">
        <f>+J703*G743+E743</f>
        <v>181228.47181276939</v>
      </c>
      <c r="I743" s="796">
        <f>+J704*G743+E743</f>
        <v>181228.47181276939</v>
      </c>
      <c r="J743" s="793">
        <f t="shared" si="69"/>
        <v>0</v>
      </c>
      <c r="K743" s="793"/>
      <c r="L743" s="813"/>
      <c r="M743" s="793">
        <f t="shared" si="63"/>
        <v>0</v>
      </c>
      <c r="N743" s="813"/>
      <c r="O743" s="793">
        <f t="shared" si="64"/>
        <v>0</v>
      </c>
      <c r="P743" s="793">
        <f t="shared" si="65"/>
        <v>0</v>
      </c>
    </row>
    <row r="744" spans="3:16">
      <c r="C744" s="789">
        <f>IF(D702="","-",+C743+1)</f>
        <v>2051</v>
      </c>
      <c r="D744" s="737">
        <f t="shared" si="66"/>
        <v>620089.80548780703</v>
      </c>
      <c r="E744" s="790">
        <f t="shared" si="68"/>
        <v>106301.10951219512</v>
      </c>
      <c r="F744" s="790">
        <f t="shared" si="62"/>
        <v>513788.69597561192</v>
      </c>
      <c r="G744" s="737">
        <f t="shared" si="67"/>
        <v>566939.25073170941</v>
      </c>
      <c r="H744" s="795">
        <f>+J703*G744+E744</f>
        <v>169397.83566004719</v>
      </c>
      <c r="I744" s="796">
        <f>+J704*G744+E744</f>
        <v>169397.83566004719</v>
      </c>
      <c r="J744" s="793">
        <f t="shared" si="69"/>
        <v>0</v>
      </c>
      <c r="K744" s="793"/>
      <c r="L744" s="813"/>
      <c r="M744" s="793">
        <f t="shared" si="63"/>
        <v>0</v>
      </c>
      <c r="N744" s="813"/>
      <c r="O744" s="793">
        <f t="shared" si="64"/>
        <v>0</v>
      </c>
      <c r="P744" s="793">
        <f t="shared" si="65"/>
        <v>0</v>
      </c>
    </row>
    <row r="745" spans="3:16">
      <c r="C745" s="789">
        <f>IF(D702="","-",+C744+1)</f>
        <v>2052</v>
      </c>
      <c r="D745" s="737">
        <f t="shared" si="66"/>
        <v>513788.69597561192</v>
      </c>
      <c r="E745" s="790">
        <f t="shared" si="68"/>
        <v>106301.10951219512</v>
      </c>
      <c r="F745" s="790">
        <f t="shared" si="62"/>
        <v>407487.58646341681</v>
      </c>
      <c r="G745" s="737">
        <f t="shared" si="67"/>
        <v>460638.14121951436</v>
      </c>
      <c r="H745" s="795">
        <f>+J703*G745+E745</f>
        <v>157567.19950732496</v>
      </c>
      <c r="I745" s="796">
        <f>+J704*G745+E745</f>
        <v>157567.19950732496</v>
      </c>
      <c r="J745" s="793">
        <f t="shared" si="69"/>
        <v>0</v>
      </c>
      <c r="K745" s="793"/>
      <c r="L745" s="813"/>
      <c r="M745" s="793">
        <f t="shared" si="63"/>
        <v>0</v>
      </c>
      <c r="N745" s="813"/>
      <c r="O745" s="793">
        <f t="shared" si="64"/>
        <v>0</v>
      </c>
      <c r="P745" s="793">
        <f t="shared" si="65"/>
        <v>0</v>
      </c>
    </row>
    <row r="746" spans="3:16">
      <c r="C746" s="789">
        <f>IF(D702="","-",+C745+1)</f>
        <v>2053</v>
      </c>
      <c r="D746" s="737">
        <f t="shared" si="66"/>
        <v>407487.58646341681</v>
      </c>
      <c r="E746" s="790">
        <f t="shared" si="68"/>
        <v>106301.10951219512</v>
      </c>
      <c r="F746" s="790">
        <f t="shared" si="62"/>
        <v>301186.4769512217</v>
      </c>
      <c r="G746" s="737">
        <f t="shared" si="67"/>
        <v>354337.03170731926</v>
      </c>
      <c r="H746" s="795">
        <f>+J703*G746+E746</f>
        <v>145736.56335460275</v>
      </c>
      <c r="I746" s="796">
        <f>+J704*G746+E746</f>
        <v>145736.56335460275</v>
      </c>
      <c r="J746" s="793">
        <f t="shared" si="69"/>
        <v>0</v>
      </c>
      <c r="K746" s="793"/>
      <c r="L746" s="813"/>
      <c r="M746" s="793">
        <f t="shared" si="63"/>
        <v>0</v>
      </c>
      <c r="N746" s="813"/>
      <c r="O746" s="793">
        <f t="shared" si="64"/>
        <v>0</v>
      </c>
      <c r="P746" s="793">
        <f t="shared" si="65"/>
        <v>0</v>
      </c>
    </row>
    <row r="747" spans="3:16">
      <c r="C747" s="789">
        <f>IF(D702="","-",+C746+1)</f>
        <v>2054</v>
      </c>
      <c r="D747" s="737">
        <f t="shared" si="66"/>
        <v>301186.4769512217</v>
      </c>
      <c r="E747" s="790">
        <f t="shared" si="68"/>
        <v>106301.10951219512</v>
      </c>
      <c r="F747" s="790">
        <f t="shared" si="62"/>
        <v>194885.3674390266</v>
      </c>
      <c r="G747" s="737">
        <f t="shared" si="67"/>
        <v>248035.92219512415</v>
      </c>
      <c r="H747" s="795">
        <f>+J703*G747+E747</f>
        <v>133905.92720188055</v>
      </c>
      <c r="I747" s="796">
        <f>+J704*G747+E747</f>
        <v>133905.92720188055</v>
      </c>
      <c r="J747" s="793">
        <f t="shared" si="69"/>
        <v>0</v>
      </c>
      <c r="K747" s="793"/>
      <c r="L747" s="813"/>
      <c r="M747" s="793">
        <f t="shared" si="63"/>
        <v>0</v>
      </c>
      <c r="N747" s="813"/>
      <c r="O747" s="793">
        <f t="shared" si="64"/>
        <v>0</v>
      </c>
      <c r="P747" s="793">
        <f t="shared" si="65"/>
        <v>0</v>
      </c>
    </row>
    <row r="748" spans="3:16">
      <c r="C748" s="789">
        <f>IF(D702="","-",+C747+1)</f>
        <v>2055</v>
      </c>
      <c r="D748" s="737">
        <f t="shared" si="66"/>
        <v>194885.3674390266</v>
      </c>
      <c r="E748" s="790">
        <f t="shared" si="68"/>
        <v>106301.10951219512</v>
      </c>
      <c r="F748" s="790">
        <f t="shared" si="62"/>
        <v>88584.257926831473</v>
      </c>
      <c r="G748" s="737">
        <f t="shared" si="67"/>
        <v>141734.81268292904</v>
      </c>
      <c r="H748" s="795">
        <f>+J703*G748+E748</f>
        <v>122075.29104915832</v>
      </c>
      <c r="I748" s="796">
        <f>+J704*G748+E748</f>
        <v>122075.29104915832</v>
      </c>
      <c r="J748" s="793">
        <f t="shared" si="69"/>
        <v>0</v>
      </c>
      <c r="K748" s="793"/>
      <c r="L748" s="813"/>
      <c r="M748" s="793">
        <f t="shared" si="63"/>
        <v>0</v>
      </c>
      <c r="N748" s="813"/>
      <c r="O748" s="793">
        <f t="shared" si="64"/>
        <v>0</v>
      </c>
      <c r="P748" s="793">
        <f t="shared" si="65"/>
        <v>0</v>
      </c>
    </row>
    <row r="749" spans="3:16">
      <c r="C749" s="789">
        <f>IF(D702="","-",+C748+1)</f>
        <v>2056</v>
      </c>
      <c r="D749" s="737">
        <f t="shared" si="66"/>
        <v>88584.257926831473</v>
      </c>
      <c r="E749" s="790">
        <f t="shared" si="68"/>
        <v>88584.257926831473</v>
      </c>
      <c r="F749" s="790">
        <f t="shared" si="62"/>
        <v>0</v>
      </c>
      <c r="G749" s="737">
        <f t="shared" si="67"/>
        <v>44292.128963415737</v>
      </c>
      <c r="H749" s="795">
        <f>+J703*G749+E749</f>
        <v>93513.68965713252</v>
      </c>
      <c r="I749" s="796">
        <f>+J704*G749+E749</f>
        <v>93513.68965713252</v>
      </c>
      <c r="J749" s="793">
        <f t="shared" si="69"/>
        <v>0</v>
      </c>
      <c r="K749" s="793"/>
      <c r="L749" s="813"/>
      <c r="M749" s="793">
        <f t="shared" si="63"/>
        <v>0</v>
      </c>
      <c r="N749" s="813"/>
      <c r="O749" s="793">
        <f t="shared" si="64"/>
        <v>0</v>
      </c>
      <c r="P749" s="793">
        <f t="shared" si="65"/>
        <v>0</v>
      </c>
    </row>
    <row r="750" spans="3:16">
      <c r="C750" s="789">
        <f>IF(D702="","-",+C749+1)</f>
        <v>2057</v>
      </c>
      <c r="D750" s="737">
        <f t="shared" si="66"/>
        <v>0</v>
      </c>
      <c r="E750" s="790">
        <f t="shared" si="68"/>
        <v>0</v>
      </c>
      <c r="F750" s="790">
        <f t="shared" si="62"/>
        <v>0</v>
      </c>
      <c r="G750" s="737">
        <f t="shared" si="67"/>
        <v>0</v>
      </c>
      <c r="H750" s="795">
        <f>+J703*G750+E750</f>
        <v>0</v>
      </c>
      <c r="I750" s="796">
        <f>+J704*G750+E750</f>
        <v>0</v>
      </c>
      <c r="J750" s="793">
        <f t="shared" si="69"/>
        <v>0</v>
      </c>
      <c r="K750" s="793"/>
      <c r="L750" s="813"/>
      <c r="M750" s="793">
        <f t="shared" si="63"/>
        <v>0</v>
      </c>
      <c r="N750" s="813"/>
      <c r="O750" s="793">
        <f t="shared" si="64"/>
        <v>0</v>
      </c>
      <c r="P750" s="793">
        <f t="shared" si="65"/>
        <v>0</v>
      </c>
    </row>
    <row r="751" spans="3:16">
      <c r="C751" s="789">
        <f>IF(D702="","-",+C750+1)</f>
        <v>2058</v>
      </c>
      <c r="D751" s="737">
        <f t="shared" si="66"/>
        <v>0</v>
      </c>
      <c r="E751" s="790">
        <f t="shared" si="68"/>
        <v>0</v>
      </c>
      <c r="F751" s="790">
        <f t="shared" si="62"/>
        <v>0</v>
      </c>
      <c r="G751" s="737">
        <f t="shared" si="67"/>
        <v>0</v>
      </c>
      <c r="H751" s="795">
        <f>+J703*G751+E751</f>
        <v>0</v>
      </c>
      <c r="I751" s="796">
        <f>+J704*G751+E751</f>
        <v>0</v>
      </c>
      <c r="J751" s="793">
        <f t="shared" si="69"/>
        <v>0</v>
      </c>
      <c r="K751" s="793"/>
      <c r="L751" s="813"/>
      <c r="M751" s="793">
        <f t="shared" si="63"/>
        <v>0</v>
      </c>
      <c r="N751" s="813"/>
      <c r="O751" s="793">
        <f t="shared" si="64"/>
        <v>0</v>
      </c>
      <c r="P751" s="793">
        <f t="shared" si="65"/>
        <v>0</v>
      </c>
    </row>
    <row r="752" spans="3:16">
      <c r="C752" s="789">
        <f>IF(D702="","-",+C751+1)</f>
        <v>2059</v>
      </c>
      <c r="D752" s="737">
        <f t="shared" si="66"/>
        <v>0</v>
      </c>
      <c r="E752" s="790">
        <f t="shared" si="68"/>
        <v>0</v>
      </c>
      <c r="F752" s="790">
        <f t="shared" si="62"/>
        <v>0</v>
      </c>
      <c r="G752" s="737">
        <f t="shared" si="67"/>
        <v>0</v>
      </c>
      <c r="H752" s="795">
        <f>+J703*G752+E752</f>
        <v>0</v>
      </c>
      <c r="I752" s="796">
        <f>+J704*G752+E752</f>
        <v>0</v>
      </c>
      <c r="J752" s="793">
        <f t="shared" si="69"/>
        <v>0</v>
      </c>
      <c r="K752" s="793"/>
      <c r="L752" s="813"/>
      <c r="M752" s="793">
        <f t="shared" si="63"/>
        <v>0</v>
      </c>
      <c r="N752" s="813"/>
      <c r="O752" s="793">
        <f t="shared" si="64"/>
        <v>0</v>
      </c>
      <c r="P752" s="793">
        <f t="shared" si="65"/>
        <v>0</v>
      </c>
    </row>
    <row r="753" spans="3:16">
      <c r="C753" s="789">
        <f>IF(D702="","-",+C752+1)</f>
        <v>2060</v>
      </c>
      <c r="D753" s="737">
        <f t="shared" si="66"/>
        <v>0</v>
      </c>
      <c r="E753" s="790">
        <f t="shared" si="68"/>
        <v>0</v>
      </c>
      <c r="F753" s="790">
        <f t="shared" si="62"/>
        <v>0</v>
      </c>
      <c r="G753" s="737">
        <f t="shared" si="67"/>
        <v>0</v>
      </c>
      <c r="H753" s="795">
        <f>+J703*G753+E753</f>
        <v>0</v>
      </c>
      <c r="I753" s="796">
        <f>+J704*G753+E753</f>
        <v>0</v>
      </c>
      <c r="J753" s="793">
        <f t="shared" si="69"/>
        <v>0</v>
      </c>
      <c r="K753" s="793"/>
      <c r="L753" s="813"/>
      <c r="M753" s="793">
        <f t="shared" si="63"/>
        <v>0</v>
      </c>
      <c r="N753" s="813"/>
      <c r="O753" s="793">
        <f t="shared" si="64"/>
        <v>0</v>
      </c>
      <c r="P753" s="793">
        <f t="shared" si="65"/>
        <v>0</v>
      </c>
    </row>
    <row r="754" spans="3:16">
      <c r="C754" s="789">
        <f>IF(D702="","-",+C753+1)</f>
        <v>2061</v>
      </c>
      <c r="D754" s="737">
        <f t="shared" si="66"/>
        <v>0</v>
      </c>
      <c r="E754" s="790">
        <f t="shared" si="68"/>
        <v>0</v>
      </c>
      <c r="F754" s="790">
        <f t="shared" si="62"/>
        <v>0</v>
      </c>
      <c r="G754" s="737">
        <f t="shared" si="67"/>
        <v>0</v>
      </c>
      <c r="H754" s="795">
        <f>+J703*G754+E754</f>
        <v>0</v>
      </c>
      <c r="I754" s="796">
        <f>+J704*G754+E754</f>
        <v>0</v>
      </c>
      <c r="J754" s="793">
        <f t="shared" si="69"/>
        <v>0</v>
      </c>
      <c r="K754" s="793"/>
      <c r="L754" s="813"/>
      <c r="M754" s="793">
        <f t="shared" si="63"/>
        <v>0</v>
      </c>
      <c r="N754" s="813"/>
      <c r="O754" s="793">
        <f t="shared" si="64"/>
        <v>0</v>
      </c>
      <c r="P754" s="793">
        <f t="shared" si="65"/>
        <v>0</v>
      </c>
    </row>
    <row r="755" spans="3:16">
      <c r="C755" s="789">
        <f>IF(D702="","-",+C754+1)</f>
        <v>2062</v>
      </c>
      <c r="D755" s="737">
        <f t="shared" si="66"/>
        <v>0</v>
      </c>
      <c r="E755" s="790">
        <f t="shared" si="68"/>
        <v>0</v>
      </c>
      <c r="F755" s="790">
        <f t="shared" si="62"/>
        <v>0</v>
      </c>
      <c r="G755" s="737">
        <f t="shared" si="67"/>
        <v>0</v>
      </c>
      <c r="H755" s="795">
        <f>+J703*G755+E755</f>
        <v>0</v>
      </c>
      <c r="I755" s="796">
        <f>+J704*G755+E755</f>
        <v>0</v>
      </c>
      <c r="J755" s="793">
        <f t="shared" si="69"/>
        <v>0</v>
      </c>
      <c r="K755" s="793"/>
      <c r="L755" s="813"/>
      <c r="M755" s="793">
        <f t="shared" si="63"/>
        <v>0</v>
      </c>
      <c r="N755" s="813"/>
      <c r="O755" s="793">
        <f t="shared" si="64"/>
        <v>0</v>
      </c>
      <c r="P755" s="793">
        <f t="shared" si="65"/>
        <v>0</v>
      </c>
    </row>
    <row r="756" spans="3:16">
      <c r="C756" s="789">
        <f>IF(D702="","-",+C755+1)</f>
        <v>2063</v>
      </c>
      <c r="D756" s="737">
        <f t="shared" si="66"/>
        <v>0</v>
      </c>
      <c r="E756" s="790">
        <f t="shared" si="68"/>
        <v>0</v>
      </c>
      <c r="F756" s="790">
        <f t="shared" si="62"/>
        <v>0</v>
      </c>
      <c r="G756" s="737">
        <f t="shared" si="67"/>
        <v>0</v>
      </c>
      <c r="H756" s="795">
        <f>+J703*G756+E756</f>
        <v>0</v>
      </c>
      <c r="I756" s="796">
        <f>+J704*G756+E756</f>
        <v>0</v>
      </c>
      <c r="J756" s="793">
        <f t="shared" si="69"/>
        <v>0</v>
      </c>
      <c r="K756" s="793"/>
      <c r="L756" s="813"/>
      <c r="M756" s="793">
        <f t="shared" si="63"/>
        <v>0</v>
      </c>
      <c r="N756" s="813"/>
      <c r="O756" s="793">
        <f t="shared" si="64"/>
        <v>0</v>
      </c>
      <c r="P756" s="793">
        <f t="shared" si="65"/>
        <v>0</v>
      </c>
    </row>
    <row r="757" spans="3:16">
      <c r="C757" s="789">
        <f>IF(D702="","-",+C756+1)</f>
        <v>2064</v>
      </c>
      <c r="D757" s="737">
        <f t="shared" si="66"/>
        <v>0</v>
      </c>
      <c r="E757" s="790">
        <f t="shared" si="68"/>
        <v>0</v>
      </c>
      <c r="F757" s="790">
        <f t="shared" si="62"/>
        <v>0</v>
      </c>
      <c r="G757" s="737">
        <f t="shared" si="67"/>
        <v>0</v>
      </c>
      <c r="H757" s="795">
        <f>+J703*G757+E757</f>
        <v>0</v>
      </c>
      <c r="I757" s="796">
        <f>+J704*G757+E757</f>
        <v>0</v>
      </c>
      <c r="J757" s="793">
        <f t="shared" si="69"/>
        <v>0</v>
      </c>
      <c r="K757" s="793"/>
      <c r="L757" s="813"/>
      <c r="M757" s="793">
        <f t="shared" si="63"/>
        <v>0</v>
      </c>
      <c r="N757" s="813"/>
      <c r="O757" s="793">
        <f t="shared" si="64"/>
        <v>0</v>
      </c>
      <c r="P757" s="793">
        <f t="shared" si="65"/>
        <v>0</v>
      </c>
    </row>
    <row r="758" spans="3:16">
      <c r="C758" s="789">
        <f>IF(D702="","-",+C757+1)</f>
        <v>2065</v>
      </c>
      <c r="D758" s="737">
        <f t="shared" si="66"/>
        <v>0</v>
      </c>
      <c r="E758" s="790">
        <f t="shared" si="68"/>
        <v>0</v>
      </c>
      <c r="F758" s="790">
        <f t="shared" si="62"/>
        <v>0</v>
      </c>
      <c r="G758" s="737">
        <f t="shared" si="67"/>
        <v>0</v>
      </c>
      <c r="H758" s="795">
        <f>+J703*G758+E758</f>
        <v>0</v>
      </c>
      <c r="I758" s="796">
        <f>+J704*G758+E758</f>
        <v>0</v>
      </c>
      <c r="J758" s="793">
        <f t="shared" si="69"/>
        <v>0</v>
      </c>
      <c r="K758" s="793"/>
      <c r="L758" s="813"/>
      <c r="M758" s="793">
        <f t="shared" si="63"/>
        <v>0</v>
      </c>
      <c r="N758" s="813"/>
      <c r="O758" s="793">
        <f t="shared" si="64"/>
        <v>0</v>
      </c>
      <c r="P758" s="793">
        <f t="shared" si="65"/>
        <v>0</v>
      </c>
    </row>
    <row r="759" spans="3:16">
      <c r="C759" s="789">
        <f>IF(D702="","-",+C758+1)</f>
        <v>2066</v>
      </c>
      <c r="D759" s="737">
        <f t="shared" si="66"/>
        <v>0</v>
      </c>
      <c r="E759" s="790">
        <f t="shared" si="68"/>
        <v>0</v>
      </c>
      <c r="F759" s="790">
        <f t="shared" si="62"/>
        <v>0</v>
      </c>
      <c r="G759" s="737">
        <f t="shared" si="67"/>
        <v>0</v>
      </c>
      <c r="H759" s="795">
        <f>+J703*G759+E759</f>
        <v>0</v>
      </c>
      <c r="I759" s="796">
        <f>+J704*G759+E759</f>
        <v>0</v>
      </c>
      <c r="J759" s="793">
        <f t="shared" si="69"/>
        <v>0</v>
      </c>
      <c r="K759" s="793"/>
      <c r="L759" s="813"/>
      <c r="M759" s="793">
        <f t="shared" si="63"/>
        <v>0</v>
      </c>
      <c r="N759" s="813"/>
      <c r="O759" s="793">
        <f t="shared" si="64"/>
        <v>0</v>
      </c>
      <c r="P759" s="793">
        <f t="shared" si="65"/>
        <v>0</v>
      </c>
    </row>
    <row r="760" spans="3:16">
      <c r="C760" s="789">
        <f>IF(D702="","-",+C759+1)</f>
        <v>2067</v>
      </c>
      <c r="D760" s="737">
        <f t="shared" si="66"/>
        <v>0</v>
      </c>
      <c r="E760" s="790">
        <f t="shared" si="68"/>
        <v>0</v>
      </c>
      <c r="F760" s="790">
        <f t="shared" si="62"/>
        <v>0</v>
      </c>
      <c r="G760" s="737">
        <f t="shared" si="67"/>
        <v>0</v>
      </c>
      <c r="H760" s="795">
        <f>+J703*G760+E760</f>
        <v>0</v>
      </c>
      <c r="I760" s="796">
        <f>+J704*G760+E760</f>
        <v>0</v>
      </c>
      <c r="J760" s="793">
        <f t="shared" si="69"/>
        <v>0</v>
      </c>
      <c r="K760" s="793"/>
      <c r="L760" s="813"/>
      <c r="M760" s="793">
        <f t="shared" si="63"/>
        <v>0</v>
      </c>
      <c r="N760" s="813"/>
      <c r="O760" s="793">
        <f t="shared" si="64"/>
        <v>0</v>
      </c>
      <c r="P760" s="793">
        <f t="shared" si="65"/>
        <v>0</v>
      </c>
    </row>
    <row r="761" spans="3:16">
      <c r="C761" s="789">
        <f>IF(D702="","-",+C760+1)</f>
        <v>2068</v>
      </c>
      <c r="D761" s="737">
        <f t="shared" si="66"/>
        <v>0</v>
      </c>
      <c r="E761" s="790">
        <f t="shared" si="68"/>
        <v>0</v>
      </c>
      <c r="F761" s="790">
        <f t="shared" si="62"/>
        <v>0</v>
      </c>
      <c r="G761" s="737">
        <f t="shared" si="67"/>
        <v>0</v>
      </c>
      <c r="H761" s="795">
        <f>+J703*G761+E761</f>
        <v>0</v>
      </c>
      <c r="I761" s="796">
        <f>+J704*G761+E761</f>
        <v>0</v>
      </c>
      <c r="J761" s="793">
        <f t="shared" si="69"/>
        <v>0</v>
      </c>
      <c r="K761" s="793"/>
      <c r="L761" s="813"/>
      <c r="M761" s="793">
        <f t="shared" si="63"/>
        <v>0</v>
      </c>
      <c r="N761" s="813"/>
      <c r="O761" s="793">
        <f t="shared" si="64"/>
        <v>0</v>
      </c>
      <c r="P761" s="793">
        <f t="shared" si="65"/>
        <v>0</v>
      </c>
    </row>
    <row r="762" spans="3:16">
      <c r="C762" s="789">
        <f>IF(D702="","-",+C761+1)</f>
        <v>2069</v>
      </c>
      <c r="D762" s="737">
        <f t="shared" ref="D762:D767" si="70">F761</f>
        <v>0</v>
      </c>
      <c r="E762" s="790">
        <f t="shared" si="68"/>
        <v>0</v>
      </c>
      <c r="F762" s="790">
        <f t="shared" si="62"/>
        <v>0</v>
      </c>
      <c r="G762" s="737">
        <f t="shared" si="67"/>
        <v>0</v>
      </c>
      <c r="H762" s="795">
        <f>+J703*G762+E762</f>
        <v>0</v>
      </c>
      <c r="I762" s="796">
        <f>+J704*G762+E762</f>
        <v>0</v>
      </c>
      <c r="J762" s="793">
        <f t="shared" si="69"/>
        <v>0</v>
      </c>
      <c r="K762" s="793"/>
      <c r="L762" s="813"/>
      <c r="M762" s="793">
        <f t="shared" si="63"/>
        <v>0</v>
      </c>
      <c r="N762" s="813"/>
      <c r="O762" s="793">
        <f t="shared" si="64"/>
        <v>0</v>
      </c>
      <c r="P762" s="793">
        <f t="shared" si="65"/>
        <v>0</v>
      </c>
    </row>
    <row r="763" spans="3:16">
      <c r="C763" s="789">
        <f>IF(D702="","-",+C762+1)</f>
        <v>2070</v>
      </c>
      <c r="D763" s="737">
        <f t="shared" si="70"/>
        <v>0</v>
      </c>
      <c r="E763" s="790">
        <f t="shared" si="68"/>
        <v>0</v>
      </c>
      <c r="F763" s="790">
        <f t="shared" si="62"/>
        <v>0</v>
      </c>
      <c r="G763" s="737">
        <f t="shared" si="67"/>
        <v>0</v>
      </c>
      <c r="H763" s="795">
        <f>+J703*G763+E763</f>
        <v>0</v>
      </c>
      <c r="I763" s="796">
        <f>+J704*G763+E763</f>
        <v>0</v>
      </c>
      <c r="J763" s="793">
        <f t="shared" si="69"/>
        <v>0</v>
      </c>
      <c r="K763" s="793"/>
      <c r="L763" s="813"/>
      <c r="M763" s="793">
        <f t="shared" si="63"/>
        <v>0</v>
      </c>
      <c r="N763" s="813"/>
      <c r="O763" s="793">
        <f t="shared" si="64"/>
        <v>0</v>
      </c>
      <c r="P763" s="793">
        <f t="shared" si="65"/>
        <v>0</v>
      </c>
    </row>
    <row r="764" spans="3:16">
      <c r="C764" s="789">
        <f>IF(D702="","-",+C763+1)</f>
        <v>2071</v>
      </c>
      <c r="D764" s="737">
        <f t="shared" si="70"/>
        <v>0</v>
      </c>
      <c r="E764" s="790">
        <f t="shared" si="68"/>
        <v>0</v>
      </c>
      <c r="F764" s="790">
        <f t="shared" si="62"/>
        <v>0</v>
      </c>
      <c r="G764" s="737">
        <f t="shared" si="67"/>
        <v>0</v>
      </c>
      <c r="H764" s="795">
        <f>+J703*G764+E764</f>
        <v>0</v>
      </c>
      <c r="I764" s="796">
        <f>+J704*G764+E764</f>
        <v>0</v>
      </c>
      <c r="J764" s="793">
        <f t="shared" si="69"/>
        <v>0</v>
      </c>
      <c r="K764" s="793"/>
      <c r="L764" s="813"/>
      <c r="M764" s="793">
        <f t="shared" si="63"/>
        <v>0</v>
      </c>
      <c r="N764" s="813"/>
      <c r="O764" s="793">
        <f t="shared" si="64"/>
        <v>0</v>
      </c>
      <c r="P764" s="793">
        <f t="shared" si="65"/>
        <v>0</v>
      </c>
    </row>
    <row r="765" spans="3:16">
      <c r="C765" s="789">
        <f>IF(D702="","-",+C764+1)</f>
        <v>2072</v>
      </c>
      <c r="D765" s="737">
        <f t="shared" si="70"/>
        <v>0</v>
      </c>
      <c r="E765" s="790">
        <f t="shared" si="68"/>
        <v>0</v>
      </c>
      <c r="F765" s="790">
        <f t="shared" si="62"/>
        <v>0</v>
      </c>
      <c r="G765" s="737">
        <f t="shared" si="67"/>
        <v>0</v>
      </c>
      <c r="H765" s="795">
        <f>+J703*G765+E765</f>
        <v>0</v>
      </c>
      <c r="I765" s="796">
        <f>+J704*G765+E765</f>
        <v>0</v>
      </c>
      <c r="J765" s="793">
        <f t="shared" si="69"/>
        <v>0</v>
      </c>
      <c r="K765" s="793"/>
      <c r="L765" s="813"/>
      <c r="M765" s="793">
        <f t="shared" si="63"/>
        <v>0</v>
      </c>
      <c r="N765" s="813"/>
      <c r="O765" s="793">
        <f t="shared" si="64"/>
        <v>0</v>
      </c>
      <c r="P765" s="793">
        <f t="shared" si="65"/>
        <v>0</v>
      </c>
    </row>
    <row r="766" spans="3:16">
      <c r="C766" s="789">
        <f>IF(D702="","-",+C765+1)</f>
        <v>2073</v>
      </c>
      <c r="D766" s="737">
        <f t="shared" si="70"/>
        <v>0</v>
      </c>
      <c r="E766" s="790">
        <f t="shared" si="68"/>
        <v>0</v>
      </c>
      <c r="F766" s="790">
        <f t="shared" si="62"/>
        <v>0</v>
      </c>
      <c r="G766" s="737">
        <f t="shared" si="67"/>
        <v>0</v>
      </c>
      <c r="H766" s="795">
        <f>+J703*G766+E766</f>
        <v>0</v>
      </c>
      <c r="I766" s="796">
        <f>+J704*G766+E766</f>
        <v>0</v>
      </c>
      <c r="J766" s="793">
        <f t="shared" si="69"/>
        <v>0</v>
      </c>
      <c r="K766" s="793"/>
      <c r="L766" s="813"/>
      <c r="M766" s="793">
        <f t="shared" si="63"/>
        <v>0</v>
      </c>
      <c r="N766" s="813"/>
      <c r="O766" s="793">
        <f t="shared" si="64"/>
        <v>0</v>
      </c>
      <c r="P766" s="793">
        <f t="shared" si="65"/>
        <v>0</v>
      </c>
    </row>
    <row r="767" spans="3:16" ht="13.5" thickBot="1">
      <c r="C767" s="799">
        <f>IF(D702="","-",+C766+1)</f>
        <v>2074</v>
      </c>
      <c r="D767" s="800">
        <f t="shared" si="70"/>
        <v>0</v>
      </c>
      <c r="E767" s="801">
        <f t="shared" si="68"/>
        <v>0</v>
      </c>
      <c r="F767" s="801">
        <f t="shared" si="62"/>
        <v>0</v>
      </c>
      <c r="G767" s="800">
        <f t="shared" si="67"/>
        <v>0</v>
      </c>
      <c r="H767" s="802">
        <f>+J703*G767+E767</f>
        <v>0</v>
      </c>
      <c r="I767" s="802">
        <f>+J704*G767+E767</f>
        <v>0</v>
      </c>
      <c r="J767" s="803">
        <f t="shared" si="69"/>
        <v>0</v>
      </c>
      <c r="K767" s="793"/>
      <c r="L767" s="814"/>
      <c r="M767" s="803">
        <f t="shared" si="63"/>
        <v>0</v>
      </c>
      <c r="N767" s="814"/>
      <c r="O767" s="803">
        <f t="shared" si="64"/>
        <v>0</v>
      </c>
      <c r="P767" s="803">
        <f t="shared" si="65"/>
        <v>0</v>
      </c>
    </row>
    <row r="768" spans="3:16">
      <c r="C768" s="737" t="s">
        <v>83</v>
      </c>
      <c r="D768" s="731"/>
      <c r="E768" s="731">
        <f>SUM(E708:E767)</f>
        <v>4358345.49</v>
      </c>
      <c r="F768" s="731"/>
      <c r="G768" s="731"/>
      <c r="H768" s="731">
        <f>SUM(H708:H767)</f>
        <v>14706208.578247709</v>
      </c>
      <c r="I768" s="731">
        <f>SUM(I708:I767)</f>
        <v>14706208.578247709</v>
      </c>
      <c r="J768" s="731">
        <f>SUM(J708:J767)</f>
        <v>0</v>
      </c>
      <c r="K768" s="731"/>
      <c r="L768" s="731"/>
      <c r="M768" s="731"/>
      <c r="N768" s="731"/>
      <c r="O768" s="731"/>
    </row>
    <row r="769" spans="1:17">
      <c r="D769" s="539"/>
      <c r="E769" s="314"/>
      <c r="F769" s="314"/>
      <c r="G769" s="314"/>
      <c r="H769" s="314"/>
      <c r="I769" s="709"/>
      <c r="J769" s="709"/>
      <c r="K769" s="731"/>
      <c r="L769" s="709"/>
      <c r="M769" s="709"/>
      <c r="N769" s="709"/>
      <c r="O769" s="709"/>
    </row>
    <row r="770" spans="1:17">
      <c r="C770" s="314" t="s">
        <v>13</v>
      </c>
      <c r="D770" s="539"/>
      <c r="E770" s="314"/>
      <c r="F770" s="314"/>
      <c r="G770" s="314"/>
      <c r="H770" s="314"/>
      <c r="I770" s="709"/>
      <c r="J770" s="709"/>
      <c r="K770" s="731"/>
      <c r="L770" s="709"/>
      <c r="M770" s="709"/>
      <c r="N770" s="709"/>
      <c r="O770" s="709"/>
    </row>
    <row r="771" spans="1:17">
      <c r="C771" s="314"/>
      <c r="D771" s="539"/>
      <c r="E771" s="314"/>
      <c r="F771" s="314"/>
      <c r="G771" s="314"/>
      <c r="H771" s="314"/>
      <c r="I771" s="709"/>
      <c r="J771" s="709"/>
      <c r="K771" s="731"/>
      <c r="L771" s="709"/>
      <c r="M771" s="709"/>
      <c r="N771" s="709"/>
      <c r="O771" s="709"/>
    </row>
    <row r="772" spans="1:17">
      <c r="C772" s="750" t="s">
        <v>14</v>
      </c>
      <c r="D772" s="737"/>
      <c r="E772" s="737"/>
      <c r="F772" s="737"/>
      <c r="G772" s="737"/>
      <c r="H772" s="731"/>
      <c r="I772" s="731"/>
      <c r="J772" s="805"/>
      <c r="K772" s="805"/>
      <c r="L772" s="805"/>
      <c r="M772" s="805"/>
      <c r="N772" s="805"/>
      <c r="O772" s="805"/>
    </row>
    <row r="773" spans="1:17">
      <c r="C773" s="736" t="s">
        <v>263</v>
      </c>
      <c r="D773" s="737"/>
      <c r="E773" s="737"/>
      <c r="F773" s="737"/>
      <c r="G773" s="737"/>
      <c r="H773" s="731"/>
      <c r="I773" s="731"/>
      <c r="J773" s="805"/>
      <c r="K773" s="805"/>
      <c r="L773" s="805"/>
      <c r="M773" s="805"/>
      <c r="N773" s="805"/>
      <c r="O773" s="805"/>
    </row>
    <row r="774" spans="1:17">
      <c r="C774" s="736" t="s">
        <v>84</v>
      </c>
      <c r="D774" s="737"/>
      <c r="E774" s="737"/>
      <c r="F774" s="737"/>
      <c r="G774" s="737"/>
      <c r="H774" s="731"/>
      <c r="I774" s="731"/>
      <c r="J774" s="805"/>
      <c r="K774" s="805"/>
      <c r="L774" s="805"/>
      <c r="M774" s="805"/>
      <c r="N774" s="805"/>
      <c r="O774" s="805"/>
    </row>
    <row r="776" spans="1:17" ht="20.25">
      <c r="A776" s="738" t="str">
        <f>""&amp;A701&amp;" Worksheet K -  ATRR TRUE-UP Calculation for PJM Projects Charged to Benefiting Zones"</f>
        <v xml:space="preserve"> Worksheet K -  ATRR TRUE-UP Calculation for PJM Projects Charged to Benefiting Zones</v>
      </c>
      <c r="B776" s="348"/>
      <c r="C776" s="726"/>
      <c r="D776" s="539"/>
      <c r="E776" s="314"/>
      <c r="F776" s="708"/>
      <c r="G776" s="708"/>
      <c r="H776" s="314"/>
      <c r="I776" s="709"/>
      <c r="L776" s="565"/>
      <c r="M776" s="565"/>
      <c r="N776" s="565"/>
      <c r="O776" s="654" t="str">
        <f>"Page "&amp;SUM(Q$8:Q776)&amp;" of "</f>
        <v xml:space="preserve">Page 10 of </v>
      </c>
      <c r="P776" s="655">
        <f>COUNT(Q$8:Q$57702)</f>
        <v>12</v>
      </c>
      <c r="Q776" s="739">
        <v>1</v>
      </c>
    </row>
    <row r="777" spans="1:17">
      <c r="B777" s="348"/>
      <c r="C777" s="314"/>
      <c r="D777" s="539"/>
      <c r="E777" s="314"/>
      <c r="F777" s="314"/>
      <c r="G777" s="314"/>
      <c r="H777" s="314"/>
      <c r="I777" s="709"/>
      <c r="J777" s="314"/>
      <c r="K777" s="427"/>
    </row>
    <row r="778" spans="1:17" ht="18">
      <c r="B778" s="658" t="s">
        <v>466</v>
      </c>
      <c r="C778" s="740" t="s">
        <v>85</v>
      </c>
      <c r="D778" s="539"/>
      <c r="E778" s="314"/>
      <c r="F778" s="314"/>
      <c r="G778" s="314"/>
      <c r="H778" s="314"/>
      <c r="I778" s="709"/>
      <c r="J778" s="709"/>
      <c r="K778" s="731"/>
      <c r="L778" s="709"/>
      <c r="M778" s="709"/>
      <c r="N778" s="709"/>
      <c r="O778" s="709"/>
    </row>
    <row r="779" spans="1:17" ht="18.75">
      <c r="B779" s="658"/>
      <c r="C779" s="657"/>
      <c r="D779" s="539"/>
      <c r="E779" s="314"/>
      <c r="F779" s="314"/>
      <c r="G779" s="314"/>
      <c r="H779" s="314"/>
      <c r="I779" s="709"/>
      <c r="J779" s="709"/>
      <c r="K779" s="731"/>
      <c r="L779" s="709"/>
      <c r="M779" s="709"/>
      <c r="N779" s="709"/>
      <c r="O779" s="709"/>
    </row>
    <row r="780" spans="1:17" ht="18.75">
      <c r="B780" s="658"/>
      <c r="C780" s="657" t="s">
        <v>86</v>
      </c>
      <c r="D780" s="539"/>
      <c r="E780" s="314"/>
      <c r="F780" s="314"/>
      <c r="G780" s="314"/>
      <c r="H780" s="314"/>
      <c r="I780" s="709"/>
      <c r="J780" s="709"/>
      <c r="K780" s="731"/>
      <c r="L780" s="709"/>
      <c r="M780" s="709"/>
      <c r="N780" s="709"/>
      <c r="O780" s="709"/>
    </row>
    <row r="781" spans="1:17" ht="15.75" thickBot="1">
      <c r="C781" s="240"/>
      <c r="D781" s="539"/>
      <c r="E781" s="314"/>
      <c r="F781" s="314"/>
      <c r="G781" s="314"/>
      <c r="H781" s="314"/>
      <c r="I781" s="709"/>
      <c r="J781" s="709"/>
      <c r="K781" s="731"/>
      <c r="L781" s="709"/>
      <c r="M781" s="709"/>
      <c r="N781" s="709"/>
      <c r="O781" s="709"/>
    </row>
    <row r="782" spans="1:17" ht="15.75">
      <c r="C782" s="660" t="s">
        <v>87</v>
      </c>
      <c r="D782" s="539"/>
      <c r="E782" s="314"/>
      <c r="F782" s="314"/>
      <c r="G782" s="314"/>
      <c r="H782" s="807"/>
      <c r="I782" s="314" t="s">
        <v>66</v>
      </c>
      <c r="J782" s="314"/>
      <c r="K782" s="427"/>
      <c r="L782" s="836">
        <f>+J788</f>
        <v>2022</v>
      </c>
      <c r="M782" s="817" t="s">
        <v>45</v>
      </c>
      <c r="N782" s="817" t="s">
        <v>46</v>
      </c>
      <c r="O782" s="818" t="s">
        <v>47</v>
      </c>
    </row>
    <row r="783" spans="1:17" ht="15.75">
      <c r="C783" s="660"/>
      <c r="D783" s="539"/>
      <c r="E783" s="314"/>
      <c r="F783" s="314"/>
      <c r="H783" s="314"/>
      <c r="I783" s="745"/>
      <c r="J783" s="745"/>
      <c r="K783" s="746"/>
      <c r="L783" s="837" t="s">
        <v>235</v>
      </c>
      <c r="M783" s="838">
        <f>VLOOKUP(J788,C795:P854,10)</f>
        <v>8547271.6993332524</v>
      </c>
      <c r="N783" s="838">
        <f>VLOOKUP(J788,C795:P854,12)</f>
        <v>8547271.6993332524</v>
      </c>
      <c r="O783" s="839">
        <f>+N783-M783</f>
        <v>0</v>
      </c>
    </row>
    <row r="784" spans="1:17">
      <c r="C784" s="750" t="s">
        <v>88</v>
      </c>
      <c r="D784" s="1567" t="s">
        <v>819</v>
      </c>
      <c r="E784" s="1567"/>
      <c r="F784" s="1567"/>
      <c r="G784" s="1567"/>
      <c r="H784" s="1567"/>
      <c r="I784" s="1567"/>
      <c r="J784" s="709"/>
      <c r="K784" s="731"/>
      <c r="L784" s="837" t="s">
        <v>236</v>
      </c>
      <c r="M784" s="840">
        <f>VLOOKUP(J788,C795:P854,6)</f>
        <v>8702276.9309989735</v>
      </c>
      <c r="N784" s="840">
        <f>VLOOKUP(J788,C795:P854,7)</f>
        <v>8702276.9309989735</v>
      </c>
      <c r="O784" s="841">
        <f>+N784-M784</f>
        <v>0</v>
      </c>
    </row>
    <row r="785" spans="2:16" ht="13.5" thickBot="1">
      <c r="C785" s="754"/>
      <c r="D785" s="755"/>
      <c r="E785" s="735"/>
      <c r="F785" s="735"/>
      <c r="G785" s="735"/>
      <c r="H785" s="756"/>
      <c r="I785" s="709"/>
      <c r="J785" s="709"/>
      <c r="K785" s="731"/>
      <c r="L785" s="773" t="s">
        <v>237</v>
      </c>
      <c r="M785" s="842">
        <f>+M784-M783</f>
        <v>155005.23166572116</v>
      </c>
      <c r="N785" s="842">
        <f>+N784-N783</f>
        <v>155005.23166572116</v>
      </c>
      <c r="O785" s="843">
        <f>+O784-O783</f>
        <v>0</v>
      </c>
    </row>
    <row r="786" spans="2:16" ht="13.5" thickBot="1">
      <c r="C786" s="757"/>
      <c r="D786" s="758"/>
      <c r="E786" s="756"/>
      <c r="F786" s="756"/>
      <c r="G786" s="756"/>
      <c r="H786" s="756"/>
      <c r="I786" s="756"/>
      <c r="J786" s="756"/>
      <c r="K786" s="759"/>
      <c r="L786" s="756"/>
      <c r="M786" s="756"/>
      <c r="N786" s="756"/>
      <c r="O786" s="756"/>
      <c r="P786" s="348"/>
    </row>
    <row r="787" spans="2:16" ht="13.5" thickBot="1">
      <c r="C787" s="760" t="s">
        <v>89</v>
      </c>
      <c r="D787" s="761"/>
      <c r="E787" s="761"/>
      <c r="F787" s="761"/>
      <c r="G787" s="761"/>
      <c r="H787" s="761"/>
      <c r="I787" s="761"/>
      <c r="J787" s="761"/>
      <c r="K787" s="763"/>
      <c r="P787" s="764"/>
    </row>
    <row r="788" spans="2:16" ht="15">
      <c r="C788" s="765" t="s">
        <v>67</v>
      </c>
      <c r="D788" s="809">
        <v>75905192.450000003</v>
      </c>
      <c r="E788" s="726" t="s">
        <v>68</v>
      </c>
      <c r="H788" s="766"/>
      <c r="I788" s="766"/>
      <c r="J788" s="767">
        <f>$J$93</f>
        <v>2022</v>
      </c>
      <c r="K788" s="555"/>
      <c r="L788" s="1569" t="s">
        <v>69</v>
      </c>
      <c r="M788" s="1569"/>
      <c r="N788" s="1569"/>
      <c r="O788" s="1569"/>
      <c r="P788" s="427"/>
    </row>
    <row r="789" spans="2:16">
      <c r="C789" s="765" t="s">
        <v>70</v>
      </c>
      <c r="D789" s="810">
        <v>2014</v>
      </c>
      <c r="E789" s="765" t="s">
        <v>71</v>
      </c>
      <c r="F789" s="766"/>
      <c r="G789" s="766"/>
      <c r="I789" s="173"/>
      <c r="J789" s="811">
        <f>IF(H782="",0,$F$17)</f>
        <v>0</v>
      </c>
      <c r="K789" s="768"/>
      <c r="L789" s="731" t="s">
        <v>277</v>
      </c>
      <c r="P789" s="427"/>
    </row>
    <row r="790" spans="2:16">
      <c r="C790" s="765" t="s">
        <v>72</v>
      </c>
      <c r="D790" s="809">
        <v>9</v>
      </c>
      <c r="E790" s="765" t="s">
        <v>73</v>
      </c>
      <c r="F790" s="766"/>
      <c r="G790" s="766"/>
      <c r="I790" s="173"/>
      <c r="J790" s="769">
        <f>$F$70</f>
        <v>0.11129362813814259</v>
      </c>
      <c r="K790" s="770"/>
      <c r="L790" s="314" t="str">
        <f>"          INPUT TRUE-UP ARR (WITH &amp; WITHOUT INCENTIVES) FROM EACH PRIOR YEAR"</f>
        <v xml:space="preserve">          INPUT TRUE-UP ARR (WITH &amp; WITHOUT INCENTIVES) FROM EACH PRIOR YEAR</v>
      </c>
      <c r="P790" s="427"/>
    </row>
    <row r="791" spans="2:16">
      <c r="C791" s="765" t="s">
        <v>74</v>
      </c>
      <c r="D791" s="771">
        <f>H$79</f>
        <v>41</v>
      </c>
      <c r="E791" s="765" t="s">
        <v>75</v>
      </c>
      <c r="F791" s="766"/>
      <c r="G791" s="766"/>
      <c r="I791" s="173"/>
      <c r="J791" s="769">
        <f>IF(H782="",+J790,$F$69)</f>
        <v>0.11129362813814259</v>
      </c>
      <c r="K791" s="772"/>
      <c r="L791" s="314" t="s">
        <v>157</v>
      </c>
      <c r="M791" s="772"/>
      <c r="N791" s="772"/>
      <c r="O791" s="772"/>
      <c r="P791" s="427"/>
    </row>
    <row r="792" spans="2:16" ht="13.5" thickBot="1">
      <c r="C792" s="765" t="s">
        <v>76</v>
      </c>
      <c r="D792" s="808" t="s">
        <v>811</v>
      </c>
      <c r="E792" s="773" t="s">
        <v>77</v>
      </c>
      <c r="F792" s="774"/>
      <c r="G792" s="774"/>
      <c r="H792" s="775"/>
      <c r="I792" s="775"/>
      <c r="J792" s="753">
        <f>IF(D788=0,0,D788/D791)</f>
        <v>1851346.1573170733</v>
      </c>
      <c r="K792" s="731"/>
      <c r="L792" s="731" t="s">
        <v>158</v>
      </c>
      <c r="M792" s="731"/>
      <c r="N792" s="731"/>
      <c r="O792" s="731"/>
      <c r="P792" s="427"/>
    </row>
    <row r="793" spans="2:16" ht="38.25">
      <c r="B793" s="846"/>
      <c r="C793" s="776" t="s">
        <v>67</v>
      </c>
      <c r="D793" s="777" t="s">
        <v>78</v>
      </c>
      <c r="E793" s="778" t="s">
        <v>79</v>
      </c>
      <c r="F793" s="777" t="s">
        <v>80</v>
      </c>
      <c r="G793" s="777" t="s">
        <v>238</v>
      </c>
      <c r="H793" s="778" t="s">
        <v>151</v>
      </c>
      <c r="I793" s="779" t="s">
        <v>151</v>
      </c>
      <c r="J793" s="776" t="s">
        <v>90</v>
      </c>
      <c r="K793" s="780"/>
      <c r="L793" s="778" t="s">
        <v>153</v>
      </c>
      <c r="M793" s="778" t="s">
        <v>159</v>
      </c>
      <c r="N793" s="778" t="s">
        <v>153</v>
      </c>
      <c r="O793" s="778" t="s">
        <v>161</v>
      </c>
      <c r="P793" s="778" t="s">
        <v>81</v>
      </c>
    </row>
    <row r="794" spans="2:16" ht="13.5" thickBot="1">
      <c r="C794" s="782" t="s">
        <v>469</v>
      </c>
      <c r="D794" s="783" t="s">
        <v>470</v>
      </c>
      <c r="E794" s="782" t="s">
        <v>363</v>
      </c>
      <c r="F794" s="783" t="s">
        <v>470</v>
      </c>
      <c r="G794" s="783" t="s">
        <v>470</v>
      </c>
      <c r="H794" s="784" t="s">
        <v>93</v>
      </c>
      <c r="I794" s="785" t="s">
        <v>95</v>
      </c>
      <c r="J794" s="786" t="s">
        <v>15</v>
      </c>
      <c r="K794" s="787"/>
      <c r="L794" s="784" t="s">
        <v>82</v>
      </c>
      <c r="M794" s="784" t="s">
        <v>82</v>
      </c>
      <c r="N794" s="784" t="s">
        <v>255</v>
      </c>
      <c r="O794" s="784" t="s">
        <v>255</v>
      </c>
      <c r="P794" s="784" t="s">
        <v>255</v>
      </c>
    </row>
    <row r="795" spans="2:16">
      <c r="C795" s="789">
        <f>IF(D789= "","-",D789)</f>
        <v>2014</v>
      </c>
      <c r="D795" s="737">
        <f>+D788</f>
        <v>75905192.450000003</v>
      </c>
      <c r="E795" s="795">
        <f>+J792/12*(12-D790)</f>
        <v>462836.53932926839</v>
      </c>
      <c r="F795" s="844">
        <f t="shared" ref="F795:F854" si="71">+D795-E795</f>
        <v>75442355.910670727</v>
      </c>
      <c r="G795" s="737">
        <f>+(D795+F795)/2</f>
        <v>75673774.180335373</v>
      </c>
      <c r="H795" s="791">
        <f>+J790*G795+E795</f>
        <v>8884845.4227652885</v>
      </c>
      <c r="I795" s="792">
        <f>+J791*G795+E795</f>
        <v>8884845.4227652885</v>
      </c>
      <c r="J795" s="793">
        <f>+I795-H795</f>
        <v>0</v>
      </c>
      <c r="K795" s="793"/>
      <c r="L795" s="812">
        <v>0</v>
      </c>
      <c r="M795" s="845">
        <f t="shared" ref="M795:M854" si="72">IF(L795&lt;&gt;0,+H795-L795,0)</f>
        <v>0</v>
      </c>
      <c r="N795" s="812">
        <v>0</v>
      </c>
      <c r="O795" s="845">
        <f t="shared" ref="O795:O854" si="73">IF(N795&lt;&gt;0,+I795-N795,0)</f>
        <v>0</v>
      </c>
      <c r="P795" s="845">
        <f t="shared" ref="P795:P854" si="74">+O795-M795</f>
        <v>0</v>
      </c>
    </row>
    <row r="796" spans="2:16">
      <c r="C796" s="789">
        <f>IF(D789="","-",+C795+1)</f>
        <v>2015</v>
      </c>
      <c r="D796" s="737">
        <f t="shared" ref="D796:D848" si="75">F795</f>
        <v>75442355.910670727</v>
      </c>
      <c r="E796" s="790">
        <f>IF(D796&gt;$J$792,$J$792,D796)</f>
        <v>1851346.1573170733</v>
      </c>
      <c r="F796" s="790">
        <f t="shared" si="71"/>
        <v>73591009.753353655</v>
      </c>
      <c r="G796" s="737">
        <f t="shared" ref="G796:G854" si="76">+(D796+F796)/2</f>
        <v>74516682.832012191</v>
      </c>
      <c r="H796" s="795">
        <f>+J790*G796+E796</f>
        <v>10144578.146510953</v>
      </c>
      <c r="I796" s="796">
        <f>+J791*G796+E796</f>
        <v>10144578.146510953</v>
      </c>
      <c r="J796" s="793">
        <f>+I796-H796</f>
        <v>0</v>
      </c>
      <c r="K796" s="793"/>
      <c r="L796" s="813">
        <v>0</v>
      </c>
      <c r="M796" s="793">
        <f t="shared" si="72"/>
        <v>0</v>
      </c>
      <c r="N796" s="813">
        <v>0</v>
      </c>
      <c r="O796" s="793">
        <f t="shared" si="73"/>
        <v>0</v>
      </c>
      <c r="P796" s="793">
        <f t="shared" si="74"/>
        <v>0</v>
      </c>
    </row>
    <row r="797" spans="2:16">
      <c r="C797" s="789">
        <f>IF(D789="","-",+C796+1)</f>
        <v>2016</v>
      </c>
      <c r="D797" s="737">
        <f t="shared" si="75"/>
        <v>73591009.753353655</v>
      </c>
      <c r="E797" s="790">
        <f t="shared" ref="E797:E854" si="77">IF(D797&gt;$J$792,$J$792,D797)</f>
        <v>1851346.1573170733</v>
      </c>
      <c r="F797" s="790">
        <f t="shared" si="71"/>
        <v>71739663.596036583</v>
      </c>
      <c r="G797" s="737">
        <f t="shared" si="76"/>
        <v>72665336.674695119</v>
      </c>
      <c r="H797" s="795">
        <f>+J790*G797+E797</f>
        <v>9938535.1157235261</v>
      </c>
      <c r="I797" s="796">
        <f>+J791*G797+E797</f>
        <v>9938535.1157235261</v>
      </c>
      <c r="J797" s="793">
        <f t="shared" ref="J797:J854" si="78">+I797-H797</f>
        <v>0</v>
      </c>
      <c r="K797" s="793"/>
      <c r="L797" s="813">
        <v>1188</v>
      </c>
      <c r="M797" s="793">
        <f t="shared" si="72"/>
        <v>9937347.1157235261</v>
      </c>
      <c r="N797" s="813">
        <v>1188</v>
      </c>
      <c r="O797" s="793">
        <f t="shared" si="73"/>
        <v>9937347.1157235261</v>
      </c>
      <c r="P797" s="793">
        <f t="shared" si="74"/>
        <v>0</v>
      </c>
    </row>
    <row r="798" spans="2:16">
      <c r="C798" s="789">
        <f>IF(D789="","-",+C797+1)</f>
        <v>2017</v>
      </c>
      <c r="D798" s="737">
        <f t="shared" si="75"/>
        <v>71739663.596036583</v>
      </c>
      <c r="E798" s="790">
        <f t="shared" si="77"/>
        <v>1851346.1573170733</v>
      </c>
      <c r="F798" s="790">
        <f t="shared" si="71"/>
        <v>69888317.438719511</v>
      </c>
      <c r="G798" s="737">
        <f t="shared" si="76"/>
        <v>70813990.517378047</v>
      </c>
      <c r="H798" s="795">
        <f>+J790*G798+E798</f>
        <v>9732492.084936101</v>
      </c>
      <c r="I798" s="796">
        <f>+J791*G798+E798</f>
        <v>9732492.084936101</v>
      </c>
      <c r="J798" s="793">
        <f t="shared" si="78"/>
        <v>0</v>
      </c>
      <c r="K798" s="793"/>
      <c r="L798" s="813">
        <v>281554</v>
      </c>
      <c r="M798" s="793">
        <f t="shared" si="72"/>
        <v>9450938.084936101</v>
      </c>
      <c r="N798" s="813">
        <v>281554</v>
      </c>
      <c r="O798" s="793">
        <f t="shared" si="73"/>
        <v>9450938.084936101</v>
      </c>
      <c r="P798" s="793">
        <f t="shared" si="74"/>
        <v>0</v>
      </c>
    </row>
    <row r="799" spans="2:16">
      <c r="C799" s="789">
        <f>IF(D789="","-",+C798+1)</f>
        <v>2018</v>
      </c>
      <c r="D799" s="1377">
        <f t="shared" si="75"/>
        <v>69888317.438719511</v>
      </c>
      <c r="E799" s="790">
        <f t="shared" si="77"/>
        <v>1851346.1573170733</v>
      </c>
      <c r="F799" s="790">
        <f t="shared" si="71"/>
        <v>68036971.281402439</v>
      </c>
      <c r="G799" s="737">
        <f t="shared" si="76"/>
        <v>68962644.360060975</v>
      </c>
      <c r="H799" s="795">
        <f>+J790*G799+E799</f>
        <v>9526449.0541486759</v>
      </c>
      <c r="I799" s="796">
        <f>+J791*G799+E799</f>
        <v>9526449.0541486759</v>
      </c>
      <c r="J799" s="793">
        <f t="shared" si="78"/>
        <v>0</v>
      </c>
      <c r="K799" s="793"/>
      <c r="L799" s="813">
        <v>262335</v>
      </c>
      <c r="M799" s="793">
        <f t="shared" si="72"/>
        <v>9264114.0541486759</v>
      </c>
      <c r="N799" s="813">
        <v>262335</v>
      </c>
      <c r="O799" s="793">
        <f t="shared" si="73"/>
        <v>9264114.0541486759</v>
      </c>
      <c r="P799" s="793">
        <f t="shared" si="74"/>
        <v>0</v>
      </c>
    </row>
    <row r="800" spans="2:16">
      <c r="C800" s="789">
        <f>IF(D789="","-",+C799+1)</f>
        <v>2019</v>
      </c>
      <c r="D800" s="737">
        <f t="shared" si="75"/>
        <v>68036971.281402439</v>
      </c>
      <c r="E800" s="790">
        <f t="shared" si="77"/>
        <v>1851346.1573170733</v>
      </c>
      <c r="F800" s="790">
        <f t="shared" si="71"/>
        <v>66185625.124085367</v>
      </c>
      <c r="G800" s="737">
        <f t="shared" si="76"/>
        <v>67111298.202743903</v>
      </c>
      <c r="H800" s="795">
        <f>+J790*G800+E800</f>
        <v>9320406.0233612508</v>
      </c>
      <c r="I800" s="796">
        <f>+J791*G800+E800</f>
        <v>9320406.0233612508</v>
      </c>
      <c r="J800" s="793">
        <f t="shared" si="78"/>
        <v>0</v>
      </c>
      <c r="K800" s="793"/>
      <c r="L800" s="813">
        <v>252907.17719538067</v>
      </c>
      <c r="M800" s="793">
        <f t="shared" si="72"/>
        <v>9067498.8461658694</v>
      </c>
      <c r="N800" s="813">
        <v>252907.17719538067</v>
      </c>
      <c r="O800" s="793">
        <f t="shared" si="73"/>
        <v>9067498.8461658694</v>
      </c>
      <c r="P800" s="793">
        <f t="shared" si="74"/>
        <v>0</v>
      </c>
    </row>
    <row r="801" spans="3:16">
      <c r="C801" s="789">
        <f>IF(D789="","-",+C800+1)</f>
        <v>2020</v>
      </c>
      <c r="D801" s="737">
        <f t="shared" si="75"/>
        <v>66185625.124085367</v>
      </c>
      <c r="E801" s="790">
        <f t="shared" si="77"/>
        <v>1851346.1573170733</v>
      </c>
      <c r="F801" s="790">
        <f t="shared" si="71"/>
        <v>64334278.966768295</v>
      </c>
      <c r="G801" s="737">
        <f t="shared" si="76"/>
        <v>65259952.045426831</v>
      </c>
      <c r="H801" s="795">
        <f>+J790*G801+E801</f>
        <v>9114362.9925738256</v>
      </c>
      <c r="I801" s="796">
        <f>+J791*G801+E801</f>
        <v>9114362.9925738256</v>
      </c>
      <c r="J801" s="793">
        <f t="shared" si="78"/>
        <v>0</v>
      </c>
      <c r="K801" s="793"/>
      <c r="L801" s="813">
        <v>248870.10008338431</v>
      </c>
      <c r="M801" s="793">
        <f t="shared" si="72"/>
        <v>8865492.892490441</v>
      </c>
      <c r="N801" s="813">
        <v>248870.10008338431</v>
      </c>
      <c r="O801" s="793">
        <f t="shared" si="73"/>
        <v>8865492.892490441</v>
      </c>
      <c r="P801" s="793">
        <f t="shared" si="74"/>
        <v>0</v>
      </c>
    </row>
    <row r="802" spans="3:16">
      <c r="C802" s="789">
        <f>IF(D789="","-",+C801+1)</f>
        <v>2021</v>
      </c>
      <c r="D802" s="737">
        <f t="shared" si="75"/>
        <v>64334278.966768295</v>
      </c>
      <c r="E802" s="790">
        <f t="shared" si="77"/>
        <v>1851346.1573170733</v>
      </c>
      <c r="F802" s="790">
        <f t="shared" si="71"/>
        <v>62482932.809451222</v>
      </c>
      <c r="G802" s="737">
        <f t="shared" si="76"/>
        <v>63408605.888109758</v>
      </c>
      <c r="H802" s="795">
        <f>+J790*G802+E802</f>
        <v>8908319.9617863987</v>
      </c>
      <c r="I802" s="796">
        <f>+J791*G802+E802</f>
        <v>8908319.9617863987</v>
      </c>
      <c r="J802" s="793">
        <f t="shared" si="78"/>
        <v>0</v>
      </c>
      <c r="K802" s="793"/>
      <c r="L802" s="813">
        <v>8589502.3234082609</v>
      </c>
      <c r="M802" s="793">
        <f t="shared" si="72"/>
        <v>318817.63837813772</v>
      </c>
      <c r="N802" s="813">
        <v>8589502.3234082609</v>
      </c>
      <c r="O802" s="793">
        <f t="shared" si="73"/>
        <v>318817.63837813772</v>
      </c>
      <c r="P802" s="793">
        <f t="shared" si="74"/>
        <v>0</v>
      </c>
    </row>
    <row r="803" spans="3:16">
      <c r="C803" s="789">
        <f>IF(D789="","-",+C802+1)</f>
        <v>2022</v>
      </c>
      <c r="D803" s="737">
        <f t="shared" si="75"/>
        <v>62482932.809451222</v>
      </c>
      <c r="E803" s="790">
        <f t="shared" si="77"/>
        <v>1851346.1573170733</v>
      </c>
      <c r="F803" s="790">
        <f t="shared" si="71"/>
        <v>60631586.65213415</v>
      </c>
      <c r="G803" s="737">
        <f t="shared" si="76"/>
        <v>61557259.730792686</v>
      </c>
      <c r="H803" s="795">
        <f>+J790*G803+E803</f>
        <v>8702276.9309989735</v>
      </c>
      <c r="I803" s="796">
        <f>+J791*G803+E803</f>
        <v>8702276.9309989735</v>
      </c>
      <c r="J803" s="793">
        <f t="shared" si="78"/>
        <v>0</v>
      </c>
      <c r="K803" s="793"/>
      <c r="L803" s="813">
        <v>8547271.6993332524</v>
      </c>
      <c r="M803" s="793">
        <f t="shared" si="72"/>
        <v>155005.23166572116</v>
      </c>
      <c r="N803" s="813">
        <v>8547271.6993332524</v>
      </c>
      <c r="O803" s="793">
        <f t="shared" si="73"/>
        <v>155005.23166572116</v>
      </c>
      <c r="P803" s="793">
        <f t="shared" si="74"/>
        <v>0</v>
      </c>
    </row>
    <row r="804" spans="3:16">
      <c r="C804" s="789">
        <f>IF(D789="","-",+C803+1)</f>
        <v>2023</v>
      </c>
      <c r="D804" s="737">
        <f t="shared" si="75"/>
        <v>60631586.65213415</v>
      </c>
      <c r="E804" s="790">
        <f t="shared" si="77"/>
        <v>1851346.1573170733</v>
      </c>
      <c r="F804" s="790">
        <f t="shared" si="71"/>
        <v>58780240.494817078</v>
      </c>
      <c r="G804" s="737">
        <f t="shared" si="76"/>
        <v>59705913.573475614</v>
      </c>
      <c r="H804" s="795">
        <f>+J790*G804+E804</f>
        <v>8496233.9002115484</v>
      </c>
      <c r="I804" s="796">
        <f>+J791*G804+E804</f>
        <v>8496233.9002115484</v>
      </c>
      <c r="J804" s="793">
        <f t="shared" si="78"/>
        <v>0</v>
      </c>
      <c r="K804" s="793"/>
      <c r="L804" s="813"/>
      <c r="M804" s="793">
        <f t="shared" si="72"/>
        <v>0</v>
      </c>
      <c r="N804" s="813"/>
      <c r="O804" s="793">
        <f t="shared" si="73"/>
        <v>0</v>
      </c>
      <c r="P804" s="793">
        <f t="shared" si="74"/>
        <v>0</v>
      </c>
    </row>
    <row r="805" spans="3:16">
      <c r="C805" s="789">
        <f>IF(D789="","-",+C804+1)</f>
        <v>2024</v>
      </c>
      <c r="D805" s="737">
        <f t="shared" si="75"/>
        <v>58780240.494817078</v>
      </c>
      <c r="E805" s="790">
        <f t="shared" si="77"/>
        <v>1851346.1573170733</v>
      </c>
      <c r="F805" s="790">
        <f t="shared" si="71"/>
        <v>56928894.337500006</v>
      </c>
      <c r="G805" s="737">
        <f t="shared" si="76"/>
        <v>57854567.416158542</v>
      </c>
      <c r="H805" s="795">
        <f>+J790*G805+E805</f>
        <v>8290190.8694241224</v>
      </c>
      <c r="I805" s="796">
        <f>+J791*G805+E805</f>
        <v>8290190.8694241224</v>
      </c>
      <c r="J805" s="793">
        <f t="shared" si="78"/>
        <v>0</v>
      </c>
      <c r="K805" s="793"/>
      <c r="L805" s="813"/>
      <c r="M805" s="793">
        <f t="shared" si="72"/>
        <v>0</v>
      </c>
      <c r="N805" s="813"/>
      <c r="O805" s="793">
        <f t="shared" si="73"/>
        <v>0</v>
      </c>
      <c r="P805" s="793">
        <f t="shared" si="74"/>
        <v>0</v>
      </c>
    </row>
    <row r="806" spans="3:16">
      <c r="C806" s="789">
        <f>IF(D789="","-",+C805+1)</f>
        <v>2025</v>
      </c>
      <c r="D806" s="737">
        <f t="shared" si="75"/>
        <v>56928894.337500006</v>
      </c>
      <c r="E806" s="790">
        <f t="shared" si="77"/>
        <v>1851346.1573170733</v>
      </c>
      <c r="F806" s="790">
        <f t="shared" si="71"/>
        <v>55077548.180182934</v>
      </c>
      <c r="G806" s="737">
        <f t="shared" si="76"/>
        <v>56003221.25884147</v>
      </c>
      <c r="H806" s="795">
        <f>+J790*G806+E806</f>
        <v>8084147.8386366973</v>
      </c>
      <c r="I806" s="796">
        <f>+J791*G806+E806</f>
        <v>8084147.8386366973</v>
      </c>
      <c r="J806" s="793">
        <f t="shared" si="78"/>
        <v>0</v>
      </c>
      <c r="K806" s="793"/>
      <c r="L806" s="813"/>
      <c r="M806" s="793">
        <f t="shared" si="72"/>
        <v>0</v>
      </c>
      <c r="N806" s="813"/>
      <c r="O806" s="793">
        <f t="shared" si="73"/>
        <v>0</v>
      </c>
      <c r="P806" s="793">
        <f t="shared" si="74"/>
        <v>0</v>
      </c>
    </row>
    <row r="807" spans="3:16">
      <c r="C807" s="789">
        <f>IF(D789="","-",+C806+1)</f>
        <v>2026</v>
      </c>
      <c r="D807" s="737">
        <f t="shared" si="75"/>
        <v>55077548.180182934</v>
      </c>
      <c r="E807" s="790">
        <f t="shared" si="77"/>
        <v>1851346.1573170733</v>
      </c>
      <c r="F807" s="790">
        <f t="shared" si="71"/>
        <v>53226202.022865862</v>
      </c>
      <c r="G807" s="737">
        <f t="shared" si="76"/>
        <v>54151875.101524398</v>
      </c>
      <c r="H807" s="795">
        <f>+J790*G807+E807</f>
        <v>7878104.8078492722</v>
      </c>
      <c r="I807" s="796">
        <f>+J791*G807+E807</f>
        <v>7878104.8078492722</v>
      </c>
      <c r="J807" s="793">
        <f t="shared" si="78"/>
        <v>0</v>
      </c>
      <c r="K807" s="793"/>
      <c r="L807" s="813"/>
      <c r="M807" s="793">
        <f t="shared" si="72"/>
        <v>0</v>
      </c>
      <c r="N807" s="813"/>
      <c r="O807" s="793">
        <f t="shared" si="73"/>
        <v>0</v>
      </c>
      <c r="P807" s="793">
        <f t="shared" si="74"/>
        <v>0</v>
      </c>
    </row>
    <row r="808" spans="3:16">
      <c r="C808" s="789">
        <f>IF(D789="","-",+C807+1)</f>
        <v>2027</v>
      </c>
      <c r="D808" s="737">
        <f t="shared" si="75"/>
        <v>53226202.022865862</v>
      </c>
      <c r="E808" s="790">
        <f t="shared" si="77"/>
        <v>1851346.1573170733</v>
      </c>
      <c r="F808" s="790">
        <f t="shared" si="71"/>
        <v>51374855.86554879</v>
      </c>
      <c r="G808" s="737">
        <f t="shared" si="76"/>
        <v>52300528.944207326</v>
      </c>
      <c r="H808" s="795">
        <f>+J790*G808+E808</f>
        <v>7672061.7770618461</v>
      </c>
      <c r="I808" s="796">
        <f>+J791*G808+E808</f>
        <v>7672061.7770618461</v>
      </c>
      <c r="J808" s="793">
        <f t="shared" si="78"/>
        <v>0</v>
      </c>
      <c r="K808" s="793"/>
      <c r="L808" s="813"/>
      <c r="M808" s="793">
        <f t="shared" si="72"/>
        <v>0</v>
      </c>
      <c r="N808" s="813"/>
      <c r="O808" s="793">
        <f t="shared" si="73"/>
        <v>0</v>
      </c>
      <c r="P808" s="793">
        <f t="shared" si="74"/>
        <v>0</v>
      </c>
    </row>
    <row r="809" spans="3:16">
      <c r="C809" s="789">
        <f>IF(D789="","-",+C808+1)</f>
        <v>2028</v>
      </c>
      <c r="D809" s="737">
        <f t="shared" si="75"/>
        <v>51374855.86554879</v>
      </c>
      <c r="E809" s="790">
        <f t="shared" si="77"/>
        <v>1851346.1573170733</v>
      </c>
      <c r="F809" s="790">
        <f t="shared" si="71"/>
        <v>49523509.708231717</v>
      </c>
      <c r="G809" s="737">
        <f t="shared" si="76"/>
        <v>50449182.786890253</v>
      </c>
      <c r="H809" s="795">
        <f>+J790*G809+E809</f>
        <v>7466018.746274421</v>
      </c>
      <c r="I809" s="796">
        <f>+J791*G809+E809</f>
        <v>7466018.746274421</v>
      </c>
      <c r="J809" s="793">
        <f t="shared" si="78"/>
        <v>0</v>
      </c>
      <c r="K809" s="793"/>
      <c r="L809" s="813"/>
      <c r="M809" s="793">
        <f t="shared" si="72"/>
        <v>0</v>
      </c>
      <c r="N809" s="813"/>
      <c r="O809" s="793">
        <f t="shared" si="73"/>
        <v>0</v>
      </c>
      <c r="P809" s="793">
        <f t="shared" si="74"/>
        <v>0</v>
      </c>
    </row>
    <row r="810" spans="3:16">
      <c r="C810" s="789">
        <f>IF(D789="","-",+C809+1)</f>
        <v>2029</v>
      </c>
      <c r="D810" s="737">
        <f t="shared" si="75"/>
        <v>49523509.708231717</v>
      </c>
      <c r="E810" s="790">
        <f t="shared" si="77"/>
        <v>1851346.1573170733</v>
      </c>
      <c r="F810" s="790">
        <f t="shared" si="71"/>
        <v>47672163.550914645</v>
      </c>
      <c r="G810" s="737">
        <f t="shared" si="76"/>
        <v>48597836.629573181</v>
      </c>
      <c r="H810" s="795">
        <f>+J790*G810+E810</f>
        <v>7259975.7154869949</v>
      </c>
      <c r="I810" s="796">
        <f>+J791*G810+E810</f>
        <v>7259975.7154869949</v>
      </c>
      <c r="J810" s="793">
        <f t="shared" si="78"/>
        <v>0</v>
      </c>
      <c r="K810" s="793"/>
      <c r="L810" s="813"/>
      <c r="M810" s="793">
        <f t="shared" si="72"/>
        <v>0</v>
      </c>
      <c r="N810" s="813"/>
      <c r="O810" s="793">
        <f t="shared" si="73"/>
        <v>0</v>
      </c>
      <c r="P810" s="793">
        <f t="shared" si="74"/>
        <v>0</v>
      </c>
    </row>
    <row r="811" spans="3:16">
      <c r="C811" s="789">
        <f>IF(D789="","-",+C810+1)</f>
        <v>2030</v>
      </c>
      <c r="D811" s="737">
        <f t="shared" si="75"/>
        <v>47672163.550914645</v>
      </c>
      <c r="E811" s="790">
        <f t="shared" si="77"/>
        <v>1851346.1573170733</v>
      </c>
      <c r="F811" s="790">
        <f t="shared" si="71"/>
        <v>45820817.393597573</v>
      </c>
      <c r="G811" s="737">
        <f t="shared" si="76"/>
        <v>46746490.472256109</v>
      </c>
      <c r="H811" s="795">
        <f>+J790*G811+E811</f>
        <v>7053932.6846995698</v>
      </c>
      <c r="I811" s="796">
        <f>+J791*G811+E811</f>
        <v>7053932.6846995698</v>
      </c>
      <c r="J811" s="793">
        <f t="shared" si="78"/>
        <v>0</v>
      </c>
      <c r="K811" s="793"/>
      <c r="L811" s="813"/>
      <c r="M811" s="793">
        <f t="shared" si="72"/>
        <v>0</v>
      </c>
      <c r="N811" s="813"/>
      <c r="O811" s="793">
        <f t="shared" si="73"/>
        <v>0</v>
      </c>
      <c r="P811" s="793">
        <f t="shared" si="74"/>
        <v>0</v>
      </c>
    </row>
    <row r="812" spans="3:16">
      <c r="C812" s="789">
        <f>IF(D789="","-",+C811+1)</f>
        <v>2031</v>
      </c>
      <c r="D812" s="737">
        <f t="shared" si="75"/>
        <v>45820817.393597573</v>
      </c>
      <c r="E812" s="790">
        <f t="shared" si="77"/>
        <v>1851346.1573170733</v>
      </c>
      <c r="F812" s="790">
        <f t="shared" si="71"/>
        <v>43969471.236280501</v>
      </c>
      <c r="G812" s="737">
        <f t="shared" si="76"/>
        <v>44895144.314939037</v>
      </c>
      <c r="H812" s="795">
        <f>+J790*G812+E812</f>
        <v>6847889.6539121447</v>
      </c>
      <c r="I812" s="796">
        <f>+J791*G812+E812</f>
        <v>6847889.6539121447</v>
      </c>
      <c r="J812" s="793">
        <f t="shared" si="78"/>
        <v>0</v>
      </c>
      <c r="K812" s="793"/>
      <c r="L812" s="813"/>
      <c r="M812" s="793">
        <f t="shared" si="72"/>
        <v>0</v>
      </c>
      <c r="N812" s="813"/>
      <c r="O812" s="793">
        <f t="shared" si="73"/>
        <v>0</v>
      </c>
      <c r="P812" s="793">
        <f t="shared" si="74"/>
        <v>0</v>
      </c>
    </row>
    <row r="813" spans="3:16">
      <c r="C813" s="789">
        <f>IF(D789="","-",+C812+1)</f>
        <v>2032</v>
      </c>
      <c r="D813" s="737">
        <f t="shared" si="75"/>
        <v>43969471.236280501</v>
      </c>
      <c r="E813" s="790">
        <f t="shared" si="77"/>
        <v>1851346.1573170733</v>
      </c>
      <c r="F813" s="790">
        <f t="shared" si="71"/>
        <v>42118125.078963429</v>
      </c>
      <c r="G813" s="737">
        <f t="shared" si="76"/>
        <v>43043798.157621965</v>
      </c>
      <c r="H813" s="795">
        <f>+J790*G813+E813</f>
        <v>6641846.6231247187</v>
      </c>
      <c r="I813" s="796">
        <f>+J791*G813+E813</f>
        <v>6641846.6231247187</v>
      </c>
      <c r="J813" s="793">
        <f t="shared" si="78"/>
        <v>0</v>
      </c>
      <c r="K813" s="793"/>
      <c r="L813" s="813"/>
      <c r="M813" s="793">
        <f t="shared" si="72"/>
        <v>0</v>
      </c>
      <c r="N813" s="813"/>
      <c r="O813" s="793">
        <f t="shared" si="73"/>
        <v>0</v>
      </c>
      <c r="P813" s="793">
        <f t="shared" si="74"/>
        <v>0</v>
      </c>
    </row>
    <row r="814" spans="3:16">
      <c r="C814" s="789">
        <f>IF(D789="","-",+C813+1)</f>
        <v>2033</v>
      </c>
      <c r="D814" s="737">
        <f t="shared" si="75"/>
        <v>42118125.078963429</v>
      </c>
      <c r="E814" s="790">
        <f t="shared" si="77"/>
        <v>1851346.1573170733</v>
      </c>
      <c r="F814" s="790">
        <f t="shared" si="71"/>
        <v>40266778.921646357</v>
      </c>
      <c r="G814" s="737">
        <f t="shared" si="76"/>
        <v>41192452.000304893</v>
      </c>
      <c r="H814" s="795">
        <f>+J790*G814+E814</f>
        <v>6435803.5923372936</v>
      </c>
      <c r="I814" s="796">
        <f>+J791*G814+E814</f>
        <v>6435803.5923372936</v>
      </c>
      <c r="J814" s="793">
        <f t="shared" si="78"/>
        <v>0</v>
      </c>
      <c r="K814" s="793"/>
      <c r="L814" s="813"/>
      <c r="M814" s="793">
        <f t="shared" si="72"/>
        <v>0</v>
      </c>
      <c r="N814" s="813"/>
      <c r="O814" s="793">
        <f t="shared" si="73"/>
        <v>0</v>
      </c>
      <c r="P814" s="793">
        <f t="shared" si="74"/>
        <v>0</v>
      </c>
    </row>
    <row r="815" spans="3:16">
      <c r="C815" s="789">
        <f>IF(D789="","-",+C814+1)</f>
        <v>2034</v>
      </c>
      <c r="D815" s="737">
        <f t="shared" si="75"/>
        <v>40266778.921646357</v>
      </c>
      <c r="E815" s="790">
        <f t="shared" si="77"/>
        <v>1851346.1573170733</v>
      </c>
      <c r="F815" s="790">
        <f t="shared" si="71"/>
        <v>38415432.764329284</v>
      </c>
      <c r="G815" s="737">
        <f t="shared" si="76"/>
        <v>39341105.842987821</v>
      </c>
      <c r="H815" s="795">
        <f>+J790*G815+E815</f>
        <v>6229760.5615498684</v>
      </c>
      <c r="I815" s="796">
        <f>+J791*G815+E815</f>
        <v>6229760.5615498684</v>
      </c>
      <c r="J815" s="793">
        <f t="shared" si="78"/>
        <v>0</v>
      </c>
      <c r="K815" s="793"/>
      <c r="L815" s="813"/>
      <c r="M815" s="793">
        <f t="shared" si="72"/>
        <v>0</v>
      </c>
      <c r="N815" s="813"/>
      <c r="O815" s="793">
        <f t="shared" si="73"/>
        <v>0</v>
      </c>
      <c r="P815" s="793">
        <f t="shared" si="74"/>
        <v>0</v>
      </c>
    </row>
    <row r="816" spans="3:16">
      <c r="C816" s="789">
        <f>IF(D789="","-",+C815+1)</f>
        <v>2035</v>
      </c>
      <c r="D816" s="737">
        <f t="shared" si="75"/>
        <v>38415432.764329284</v>
      </c>
      <c r="E816" s="790">
        <f t="shared" si="77"/>
        <v>1851346.1573170733</v>
      </c>
      <c r="F816" s="790">
        <f t="shared" si="71"/>
        <v>36564086.607012212</v>
      </c>
      <c r="G816" s="737">
        <f t="shared" si="76"/>
        <v>37489759.685670748</v>
      </c>
      <c r="H816" s="795">
        <f>+J790*G816+E816</f>
        <v>6023717.5307624433</v>
      </c>
      <c r="I816" s="796">
        <f>+J791*G816+E816</f>
        <v>6023717.5307624433</v>
      </c>
      <c r="J816" s="793">
        <f t="shared" si="78"/>
        <v>0</v>
      </c>
      <c r="K816" s="793"/>
      <c r="L816" s="813"/>
      <c r="M816" s="793">
        <f t="shared" si="72"/>
        <v>0</v>
      </c>
      <c r="N816" s="813"/>
      <c r="O816" s="793">
        <f t="shared" si="73"/>
        <v>0</v>
      </c>
      <c r="P816" s="793">
        <f t="shared" si="74"/>
        <v>0</v>
      </c>
    </row>
    <row r="817" spans="3:16">
      <c r="C817" s="789">
        <f>IF(D789="","-",+C816+1)</f>
        <v>2036</v>
      </c>
      <c r="D817" s="737">
        <f t="shared" si="75"/>
        <v>36564086.607012212</v>
      </c>
      <c r="E817" s="790">
        <f t="shared" si="77"/>
        <v>1851346.1573170733</v>
      </c>
      <c r="F817" s="790">
        <f t="shared" si="71"/>
        <v>34712740.44969514</v>
      </c>
      <c r="G817" s="737">
        <f t="shared" si="76"/>
        <v>35638413.528353676</v>
      </c>
      <c r="H817" s="795">
        <f>+J790*G817+E817</f>
        <v>5817674.4999750173</v>
      </c>
      <c r="I817" s="796">
        <f>+J791*G817+E817</f>
        <v>5817674.4999750173</v>
      </c>
      <c r="J817" s="793">
        <f t="shared" si="78"/>
        <v>0</v>
      </c>
      <c r="K817" s="793"/>
      <c r="L817" s="813"/>
      <c r="M817" s="793">
        <f t="shared" si="72"/>
        <v>0</v>
      </c>
      <c r="N817" s="813"/>
      <c r="O817" s="793">
        <f t="shared" si="73"/>
        <v>0</v>
      </c>
      <c r="P817" s="793">
        <f t="shared" si="74"/>
        <v>0</v>
      </c>
    </row>
    <row r="818" spans="3:16">
      <c r="C818" s="789">
        <f>IF(D789="","-",+C817+1)</f>
        <v>2037</v>
      </c>
      <c r="D818" s="737">
        <f t="shared" si="75"/>
        <v>34712740.44969514</v>
      </c>
      <c r="E818" s="790">
        <f t="shared" si="77"/>
        <v>1851346.1573170733</v>
      </c>
      <c r="F818" s="790">
        <f t="shared" si="71"/>
        <v>32861394.292378068</v>
      </c>
      <c r="G818" s="737">
        <f t="shared" si="76"/>
        <v>33787067.371036604</v>
      </c>
      <c r="H818" s="795">
        <f>+J790*G818+E818</f>
        <v>5611631.4691875922</v>
      </c>
      <c r="I818" s="796">
        <f>+J791*G818+E818</f>
        <v>5611631.4691875922</v>
      </c>
      <c r="J818" s="793">
        <f t="shared" si="78"/>
        <v>0</v>
      </c>
      <c r="K818" s="793"/>
      <c r="L818" s="813"/>
      <c r="M818" s="793">
        <f t="shared" si="72"/>
        <v>0</v>
      </c>
      <c r="N818" s="813"/>
      <c r="O818" s="793">
        <f t="shared" si="73"/>
        <v>0</v>
      </c>
      <c r="P818" s="793">
        <f t="shared" si="74"/>
        <v>0</v>
      </c>
    </row>
    <row r="819" spans="3:16">
      <c r="C819" s="789">
        <f>IF(D789="","-",+C818+1)</f>
        <v>2038</v>
      </c>
      <c r="D819" s="737">
        <f t="shared" si="75"/>
        <v>32861394.292378068</v>
      </c>
      <c r="E819" s="790">
        <f t="shared" si="77"/>
        <v>1851346.1573170733</v>
      </c>
      <c r="F819" s="790">
        <f t="shared" si="71"/>
        <v>31010048.135060996</v>
      </c>
      <c r="G819" s="737">
        <f t="shared" si="76"/>
        <v>31935721.213719532</v>
      </c>
      <c r="H819" s="795">
        <f>+J790*G819+E819</f>
        <v>5405588.4384001661</v>
      </c>
      <c r="I819" s="796">
        <f>+J791*G819+E819</f>
        <v>5405588.4384001661</v>
      </c>
      <c r="J819" s="793">
        <f t="shared" si="78"/>
        <v>0</v>
      </c>
      <c r="K819" s="793"/>
      <c r="L819" s="813"/>
      <c r="M819" s="793">
        <f t="shared" si="72"/>
        <v>0</v>
      </c>
      <c r="N819" s="813"/>
      <c r="O819" s="793">
        <f t="shared" si="73"/>
        <v>0</v>
      </c>
      <c r="P819" s="793">
        <f t="shared" si="74"/>
        <v>0</v>
      </c>
    </row>
    <row r="820" spans="3:16">
      <c r="C820" s="789">
        <f>IF(D789="","-",+C819+1)</f>
        <v>2039</v>
      </c>
      <c r="D820" s="737">
        <f t="shared" si="75"/>
        <v>31010048.135060996</v>
      </c>
      <c r="E820" s="790">
        <f t="shared" si="77"/>
        <v>1851346.1573170733</v>
      </c>
      <c r="F820" s="790">
        <f t="shared" si="71"/>
        <v>29158701.977743924</v>
      </c>
      <c r="G820" s="737">
        <f t="shared" si="76"/>
        <v>30084375.05640246</v>
      </c>
      <c r="H820" s="795">
        <f>+J790*G820+E820</f>
        <v>5199545.407612741</v>
      </c>
      <c r="I820" s="796">
        <f>+J791*G820+E820</f>
        <v>5199545.407612741</v>
      </c>
      <c r="J820" s="793">
        <f t="shared" si="78"/>
        <v>0</v>
      </c>
      <c r="K820" s="793"/>
      <c r="L820" s="813"/>
      <c r="M820" s="793">
        <f t="shared" si="72"/>
        <v>0</v>
      </c>
      <c r="N820" s="813"/>
      <c r="O820" s="793">
        <f t="shared" si="73"/>
        <v>0</v>
      </c>
      <c r="P820" s="793">
        <f t="shared" si="74"/>
        <v>0</v>
      </c>
    </row>
    <row r="821" spans="3:16">
      <c r="C821" s="789">
        <f>IF(D789="","-",+C820+1)</f>
        <v>2040</v>
      </c>
      <c r="D821" s="737">
        <f t="shared" si="75"/>
        <v>29158701.977743924</v>
      </c>
      <c r="E821" s="790">
        <f t="shared" si="77"/>
        <v>1851346.1573170733</v>
      </c>
      <c r="F821" s="790">
        <f t="shared" si="71"/>
        <v>27307355.820426852</v>
      </c>
      <c r="G821" s="737">
        <f t="shared" si="76"/>
        <v>28233028.899085388</v>
      </c>
      <c r="H821" s="795">
        <f>+J790*G821+E821</f>
        <v>4993502.3768253159</v>
      </c>
      <c r="I821" s="796">
        <f>+J791*G821+E821</f>
        <v>4993502.3768253159</v>
      </c>
      <c r="J821" s="793">
        <f t="shared" si="78"/>
        <v>0</v>
      </c>
      <c r="K821" s="793"/>
      <c r="L821" s="813"/>
      <c r="M821" s="793">
        <f t="shared" si="72"/>
        <v>0</v>
      </c>
      <c r="N821" s="813"/>
      <c r="O821" s="793">
        <f t="shared" si="73"/>
        <v>0</v>
      </c>
      <c r="P821" s="793">
        <f t="shared" si="74"/>
        <v>0</v>
      </c>
    </row>
    <row r="822" spans="3:16">
      <c r="C822" s="789">
        <f>IF(D789="","-",+C821+1)</f>
        <v>2041</v>
      </c>
      <c r="D822" s="737">
        <f t="shared" si="75"/>
        <v>27307355.820426852</v>
      </c>
      <c r="E822" s="790">
        <f t="shared" si="77"/>
        <v>1851346.1573170733</v>
      </c>
      <c r="F822" s="790">
        <f t="shared" si="71"/>
        <v>25456009.663109779</v>
      </c>
      <c r="G822" s="737">
        <f t="shared" si="76"/>
        <v>26381682.741768315</v>
      </c>
      <c r="H822" s="795">
        <f>+J790*G822+E822</f>
        <v>4787459.3460378898</v>
      </c>
      <c r="I822" s="796">
        <f>+J791*G822+E822</f>
        <v>4787459.3460378898</v>
      </c>
      <c r="J822" s="793">
        <f t="shared" si="78"/>
        <v>0</v>
      </c>
      <c r="K822" s="793"/>
      <c r="L822" s="813"/>
      <c r="M822" s="793">
        <f t="shared" si="72"/>
        <v>0</v>
      </c>
      <c r="N822" s="813"/>
      <c r="O822" s="793">
        <f t="shared" si="73"/>
        <v>0</v>
      </c>
      <c r="P822" s="793">
        <f t="shared" si="74"/>
        <v>0</v>
      </c>
    </row>
    <row r="823" spans="3:16">
      <c r="C823" s="789">
        <f>IF(D789="","-",+C822+1)</f>
        <v>2042</v>
      </c>
      <c r="D823" s="737">
        <f t="shared" si="75"/>
        <v>25456009.663109779</v>
      </c>
      <c r="E823" s="790">
        <f t="shared" si="77"/>
        <v>1851346.1573170733</v>
      </c>
      <c r="F823" s="790">
        <f t="shared" si="71"/>
        <v>23604663.505792707</v>
      </c>
      <c r="G823" s="737">
        <f t="shared" si="76"/>
        <v>24530336.584451243</v>
      </c>
      <c r="H823" s="795">
        <f>+J790*G823+E823</f>
        <v>4581416.3152504647</v>
      </c>
      <c r="I823" s="796">
        <f>+J791*G823+E823</f>
        <v>4581416.3152504647</v>
      </c>
      <c r="J823" s="793">
        <f t="shared" si="78"/>
        <v>0</v>
      </c>
      <c r="K823" s="793"/>
      <c r="L823" s="813"/>
      <c r="M823" s="793">
        <f t="shared" si="72"/>
        <v>0</v>
      </c>
      <c r="N823" s="813"/>
      <c r="O823" s="793">
        <f t="shared" si="73"/>
        <v>0</v>
      </c>
      <c r="P823" s="793">
        <f t="shared" si="74"/>
        <v>0</v>
      </c>
    </row>
    <row r="824" spans="3:16">
      <c r="C824" s="789">
        <f>IF(D789="","-",+C823+1)</f>
        <v>2043</v>
      </c>
      <c r="D824" s="737">
        <f t="shared" si="75"/>
        <v>23604663.505792707</v>
      </c>
      <c r="E824" s="790">
        <f t="shared" si="77"/>
        <v>1851346.1573170733</v>
      </c>
      <c r="F824" s="790">
        <f t="shared" si="71"/>
        <v>21753317.348475635</v>
      </c>
      <c r="G824" s="737">
        <f t="shared" si="76"/>
        <v>22678990.427134171</v>
      </c>
      <c r="H824" s="795">
        <f>+J790*G824+E824</f>
        <v>4375373.2844630396</v>
      </c>
      <c r="I824" s="796">
        <f>+J791*G824+E824</f>
        <v>4375373.2844630396</v>
      </c>
      <c r="J824" s="793">
        <f t="shared" si="78"/>
        <v>0</v>
      </c>
      <c r="K824" s="793"/>
      <c r="L824" s="813"/>
      <c r="M824" s="793">
        <f t="shared" si="72"/>
        <v>0</v>
      </c>
      <c r="N824" s="813"/>
      <c r="O824" s="793">
        <f t="shared" si="73"/>
        <v>0</v>
      </c>
      <c r="P824" s="793">
        <f t="shared" si="74"/>
        <v>0</v>
      </c>
    </row>
    <row r="825" spans="3:16">
      <c r="C825" s="789">
        <f>IF(D789="","-",+C824+1)</f>
        <v>2044</v>
      </c>
      <c r="D825" s="737">
        <f t="shared" si="75"/>
        <v>21753317.348475635</v>
      </c>
      <c r="E825" s="790">
        <f t="shared" si="77"/>
        <v>1851346.1573170733</v>
      </c>
      <c r="F825" s="790">
        <f t="shared" si="71"/>
        <v>19901971.191158563</v>
      </c>
      <c r="G825" s="737">
        <f t="shared" si="76"/>
        <v>20827644.269817099</v>
      </c>
      <c r="H825" s="795">
        <f>+J790*G825+E825</f>
        <v>4169330.2536756136</v>
      </c>
      <c r="I825" s="796">
        <f>+J791*G825+E825</f>
        <v>4169330.2536756136</v>
      </c>
      <c r="J825" s="793">
        <f t="shared" si="78"/>
        <v>0</v>
      </c>
      <c r="K825" s="793"/>
      <c r="L825" s="813"/>
      <c r="M825" s="793">
        <f t="shared" si="72"/>
        <v>0</v>
      </c>
      <c r="N825" s="813"/>
      <c r="O825" s="793">
        <f t="shared" si="73"/>
        <v>0</v>
      </c>
      <c r="P825" s="793">
        <f t="shared" si="74"/>
        <v>0</v>
      </c>
    </row>
    <row r="826" spans="3:16">
      <c r="C826" s="789">
        <f>IF(D789="","-",+C825+1)</f>
        <v>2045</v>
      </c>
      <c r="D826" s="737">
        <f t="shared" si="75"/>
        <v>19901971.191158563</v>
      </c>
      <c r="E826" s="790">
        <f t="shared" si="77"/>
        <v>1851346.1573170733</v>
      </c>
      <c r="F826" s="790">
        <f t="shared" si="71"/>
        <v>18050625.033841491</v>
      </c>
      <c r="G826" s="737">
        <f t="shared" si="76"/>
        <v>18976298.112500027</v>
      </c>
      <c r="H826" s="795">
        <f>+J790*G826+E826</f>
        <v>3963287.2228881884</v>
      </c>
      <c r="I826" s="796">
        <f>+J791*G826+E826</f>
        <v>3963287.2228881884</v>
      </c>
      <c r="J826" s="793">
        <f t="shared" si="78"/>
        <v>0</v>
      </c>
      <c r="K826" s="793"/>
      <c r="L826" s="813"/>
      <c r="M826" s="793">
        <f t="shared" si="72"/>
        <v>0</v>
      </c>
      <c r="N826" s="813"/>
      <c r="O826" s="793">
        <f t="shared" si="73"/>
        <v>0</v>
      </c>
      <c r="P826" s="793">
        <f t="shared" si="74"/>
        <v>0</v>
      </c>
    </row>
    <row r="827" spans="3:16">
      <c r="C827" s="789">
        <f>IF(D789="","-",+C826+1)</f>
        <v>2046</v>
      </c>
      <c r="D827" s="737">
        <f t="shared" si="75"/>
        <v>18050625.033841491</v>
      </c>
      <c r="E827" s="790">
        <f t="shared" si="77"/>
        <v>1851346.1573170733</v>
      </c>
      <c r="F827" s="790">
        <f t="shared" si="71"/>
        <v>16199278.876524417</v>
      </c>
      <c r="G827" s="737">
        <f t="shared" si="76"/>
        <v>17124951.955182955</v>
      </c>
      <c r="H827" s="795">
        <f>+J790*G827+E827</f>
        <v>3757244.1921007629</v>
      </c>
      <c r="I827" s="796">
        <f>+J791*G827+E827</f>
        <v>3757244.1921007629</v>
      </c>
      <c r="J827" s="793">
        <f t="shared" si="78"/>
        <v>0</v>
      </c>
      <c r="K827" s="793"/>
      <c r="L827" s="813"/>
      <c r="M827" s="793">
        <f t="shared" si="72"/>
        <v>0</v>
      </c>
      <c r="N827" s="813"/>
      <c r="O827" s="793">
        <f t="shared" si="73"/>
        <v>0</v>
      </c>
      <c r="P827" s="793">
        <f t="shared" si="74"/>
        <v>0</v>
      </c>
    </row>
    <row r="828" spans="3:16">
      <c r="C828" s="789">
        <f>IF(D789="","-",+C827+1)</f>
        <v>2047</v>
      </c>
      <c r="D828" s="737">
        <f t="shared" si="75"/>
        <v>16199278.876524417</v>
      </c>
      <c r="E828" s="790">
        <f t="shared" si="77"/>
        <v>1851346.1573170733</v>
      </c>
      <c r="F828" s="790">
        <f t="shared" si="71"/>
        <v>14347932.719207343</v>
      </c>
      <c r="G828" s="737">
        <f t="shared" si="76"/>
        <v>15273605.797865879</v>
      </c>
      <c r="H828" s="795">
        <f>+J790*G828+E828</f>
        <v>3551201.1613133373</v>
      </c>
      <c r="I828" s="796">
        <f>+J791*G828+E828</f>
        <v>3551201.1613133373</v>
      </c>
      <c r="J828" s="793">
        <f t="shared" si="78"/>
        <v>0</v>
      </c>
      <c r="K828" s="793"/>
      <c r="L828" s="813"/>
      <c r="M828" s="793">
        <f t="shared" si="72"/>
        <v>0</v>
      </c>
      <c r="N828" s="813"/>
      <c r="O828" s="793">
        <f t="shared" si="73"/>
        <v>0</v>
      </c>
      <c r="P828" s="793">
        <f t="shared" si="74"/>
        <v>0</v>
      </c>
    </row>
    <row r="829" spans="3:16">
      <c r="C829" s="789">
        <f>IF(D789="","-",+C828+1)</f>
        <v>2048</v>
      </c>
      <c r="D829" s="737">
        <f t="shared" si="75"/>
        <v>14347932.719207343</v>
      </c>
      <c r="E829" s="790">
        <f t="shared" si="77"/>
        <v>1851346.1573170733</v>
      </c>
      <c r="F829" s="790">
        <f t="shared" si="71"/>
        <v>12496586.561890269</v>
      </c>
      <c r="G829" s="737">
        <f t="shared" si="76"/>
        <v>13422259.640548807</v>
      </c>
      <c r="H829" s="795">
        <f>+J790*G829+E829</f>
        <v>3345158.1305259117</v>
      </c>
      <c r="I829" s="796">
        <f>+J791*G829+E829</f>
        <v>3345158.1305259117</v>
      </c>
      <c r="J829" s="793">
        <f t="shared" si="78"/>
        <v>0</v>
      </c>
      <c r="K829" s="793"/>
      <c r="L829" s="813"/>
      <c r="M829" s="793">
        <f t="shared" si="72"/>
        <v>0</v>
      </c>
      <c r="N829" s="813"/>
      <c r="O829" s="793">
        <f t="shared" si="73"/>
        <v>0</v>
      </c>
      <c r="P829" s="793">
        <f t="shared" si="74"/>
        <v>0</v>
      </c>
    </row>
    <row r="830" spans="3:16">
      <c r="C830" s="789">
        <f>IF(D789="","-",+C829+1)</f>
        <v>2049</v>
      </c>
      <c r="D830" s="737">
        <f t="shared" si="75"/>
        <v>12496586.561890269</v>
      </c>
      <c r="E830" s="790">
        <f t="shared" si="77"/>
        <v>1851346.1573170733</v>
      </c>
      <c r="F830" s="790">
        <f t="shared" si="71"/>
        <v>10645240.404573195</v>
      </c>
      <c r="G830" s="737">
        <f t="shared" si="76"/>
        <v>11570913.483231731</v>
      </c>
      <c r="H830" s="795">
        <f>+J790*G830+E830</f>
        <v>3139115.0997384856</v>
      </c>
      <c r="I830" s="796">
        <f>+J791*G830+E830</f>
        <v>3139115.0997384856</v>
      </c>
      <c r="J830" s="793">
        <f t="shared" si="78"/>
        <v>0</v>
      </c>
      <c r="K830" s="793"/>
      <c r="L830" s="813"/>
      <c r="M830" s="793">
        <f t="shared" si="72"/>
        <v>0</v>
      </c>
      <c r="N830" s="813"/>
      <c r="O830" s="793">
        <f t="shared" si="73"/>
        <v>0</v>
      </c>
      <c r="P830" s="793">
        <f t="shared" si="74"/>
        <v>0</v>
      </c>
    </row>
    <row r="831" spans="3:16">
      <c r="C831" s="789">
        <f>IF(D789="","-",+C830+1)</f>
        <v>2050</v>
      </c>
      <c r="D831" s="737">
        <f t="shared" si="75"/>
        <v>10645240.404573195</v>
      </c>
      <c r="E831" s="790">
        <f t="shared" si="77"/>
        <v>1851346.1573170733</v>
      </c>
      <c r="F831" s="790">
        <f t="shared" si="71"/>
        <v>8793894.2472561207</v>
      </c>
      <c r="G831" s="737">
        <f t="shared" si="76"/>
        <v>9719567.3259146586</v>
      </c>
      <c r="H831" s="795">
        <f>+J790*G831+E831</f>
        <v>2933072.0689510601</v>
      </c>
      <c r="I831" s="796">
        <f>+J791*G831+E831</f>
        <v>2933072.0689510601</v>
      </c>
      <c r="J831" s="793">
        <f t="shared" si="78"/>
        <v>0</v>
      </c>
      <c r="K831" s="793"/>
      <c r="L831" s="813"/>
      <c r="M831" s="793">
        <f t="shared" si="72"/>
        <v>0</v>
      </c>
      <c r="N831" s="813"/>
      <c r="O831" s="793">
        <f t="shared" si="73"/>
        <v>0</v>
      </c>
      <c r="P831" s="793">
        <f t="shared" si="74"/>
        <v>0</v>
      </c>
    </row>
    <row r="832" spans="3:16">
      <c r="C832" s="789">
        <f>IF(D789="","-",+C831+1)</f>
        <v>2051</v>
      </c>
      <c r="D832" s="737">
        <f t="shared" si="75"/>
        <v>8793894.2472561207</v>
      </c>
      <c r="E832" s="790">
        <f t="shared" si="77"/>
        <v>1851346.1573170733</v>
      </c>
      <c r="F832" s="790">
        <f t="shared" si="71"/>
        <v>6942548.0899390476</v>
      </c>
      <c r="G832" s="737">
        <f t="shared" si="76"/>
        <v>7868221.1685975846</v>
      </c>
      <c r="H832" s="795">
        <f>+J790*G832+E832</f>
        <v>2727029.0381636345</v>
      </c>
      <c r="I832" s="796">
        <f>+J791*G832+E832</f>
        <v>2727029.0381636345</v>
      </c>
      <c r="J832" s="793">
        <f t="shared" si="78"/>
        <v>0</v>
      </c>
      <c r="K832" s="793"/>
      <c r="L832" s="813"/>
      <c r="M832" s="793">
        <f t="shared" si="72"/>
        <v>0</v>
      </c>
      <c r="N832" s="813"/>
      <c r="O832" s="793">
        <f t="shared" si="73"/>
        <v>0</v>
      </c>
      <c r="P832" s="793">
        <f t="shared" si="74"/>
        <v>0</v>
      </c>
    </row>
    <row r="833" spans="3:16">
      <c r="C833" s="789">
        <f>IF(D789="","-",+C832+1)</f>
        <v>2052</v>
      </c>
      <c r="D833" s="737">
        <f t="shared" si="75"/>
        <v>6942548.0899390476</v>
      </c>
      <c r="E833" s="790">
        <f t="shared" si="77"/>
        <v>1851346.1573170733</v>
      </c>
      <c r="F833" s="790">
        <f t="shared" si="71"/>
        <v>5091201.9326219745</v>
      </c>
      <c r="G833" s="737">
        <f t="shared" si="76"/>
        <v>6016875.0112805106</v>
      </c>
      <c r="H833" s="795">
        <f>+J790*G833+E833</f>
        <v>2520986.0073762089</v>
      </c>
      <c r="I833" s="796">
        <f>+J791*G833+E833</f>
        <v>2520986.0073762089</v>
      </c>
      <c r="J833" s="793">
        <f t="shared" si="78"/>
        <v>0</v>
      </c>
      <c r="K833" s="793"/>
      <c r="L833" s="813"/>
      <c r="M833" s="793">
        <f t="shared" si="72"/>
        <v>0</v>
      </c>
      <c r="N833" s="813"/>
      <c r="O833" s="793">
        <f t="shared" si="73"/>
        <v>0</v>
      </c>
      <c r="P833" s="793">
        <f t="shared" si="74"/>
        <v>0</v>
      </c>
    </row>
    <row r="834" spans="3:16">
      <c r="C834" s="789">
        <f>IF(D789="","-",+C833+1)</f>
        <v>2053</v>
      </c>
      <c r="D834" s="737">
        <f t="shared" si="75"/>
        <v>5091201.9326219745</v>
      </c>
      <c r="E834" s="790">
        <f t="shared" si="77"/>
        <v>1851346.1573170733</v>
      </c>
      <c r="F834" s="790">
        <f t="shared" si="71"/>
        <v>3239855.7753049014</v>
      </c>
      <c r="G834" s="737">
        <f t="shared" si="76"/>
        <v>4165528.853963438</v>
      </c>
      <c r="H834" s="795">
        <f>+J790*G834+E834</f>
        <v>2314942.9765887833</v>
      </c>
      <c r="I834" s="796">
        <f>+J791*G834+E834</f>
        <v>2314942.9765887833</v>
      </c>
      <c r="J834" s="793">
        <f t="shared" si="78"/>
        <v>0</v>
      </c>
      <c r="K834" s="793"/>
      <c r="L834" s="813"/>
      <c r="M834" s="793">
        <f t="shared" si="72"/>
        <v>0</v>
      </c>
      <c r="N834" s="813"/>
      <c r="O834" s="793">
        <f t="shared" si="73"/>
        <v>0</v>
      </c>
      <c r="P834" s="793">
        <f t="shared" si="74"/>
        <v>0</v>
      </c>
    </row>
    <row r="835" spans="3:16">
      <c r="C835" s="789">
        <f>IF(D789="","-",+C834+1)</f>
        <v>2054</v>
      </c>
      <c r="D835" s="737">
        <f t="shared" si="75"/>
        <v>3239855.7753049014</v>
      </c>
      <c r="E835" s="790">
        <f t="shared" si="77"/>
        <v>1851346.1573170733</v>
      </c>
      <c r="F835" s="790">
        <f t="shared" si="71"/>
        <v>1388509.6179878281</v>
      </c>
      <c r="G835" s="737">
        <f t="shared" si="76"/>
        <v>2314182.6966463649</v>
      </c>
      <c r="H835" s="795">
        <f>+J790*G835+E835</f>
        <v>2108899.9458013577</v>
      </c>
      <c r="I835" s="796">
        <f>+J791*G835+E835</f>
        <v>2108899.9458013577</v>
      </c>
      <c r="J835" s="793">
        <f t="shared" si="78"/>
        <v>0</v>
      </c>
      <c r="K835" s="793"/>
      <c r="L835" s="813"/>
      <c r="M835" s="793">
        <f t="shared" si="72"/>
        <v>0</v>
      </c>
      <c r="N835" s="813"/>
      <c r="O835" s="793">
        <f t="shared" si="73"/>
        <v>0</v>
      </c>
      <c r="P835" s="793">
        <f t="shared" si="74"/>
        <v>0</v>
      </c>
    </row>
    <row r="836" spans="3:16">
      <c r="C836" s="789">
        <f>IF(D789="","-",+C835+1)</f>
        <v>2055</v>
      </c>
      <c r="D836" s="737">
        <f t="shared" si="75"/>
        <v>1388509.6179878281</v>
      </c>
      <c r="E836" s="790">
        <f t="shared" si="77"/>
        <v>1388509.6179878281</v>
      </c>
      <c r="F836" s="790">
        <f t="shared" si="71"/>
        <v>0</v>
      </c>
      <c r="G836" s="737">
        <f t="shared" si="76"/>
        <v>694254.80899391405</v>
      </c>
      <c r="H836" s="795">
        <f>+J790*G836+E836</f>
        <v>1465775.7545331139</v>
      </c>
      <c r="I836" s="796">
        <f>+J791*G836+E836</f>
        <v>1465775.7545331139</v>
      </c>
      <c r="J836" s="793">
        <f t="shared" si="78"/>
        <v>0</v>
      </c>
      <c r="K836" s="793"/>
      <c r="L836" s="813"/>
      <c r="M836" s="793">
        <f t="shared" si="72"/>
        <v>0</v>
      </c>
      <c r="N836" s="813"/>
      <c r="O836" s="793">
        <f t="shared" si="73"/>
        <v>0</v>
      </c>
      <c r="P836" s="793">
        <f t="shared" si="74"/>
        <v>0</v>
      </c>
    </row>
    <row r="837" spans="3:16">
      <c r="C837" s="789">
        <f>IF(D789="","-",+C836+1)</f>
        <v>2056</v>
      </c>
      <c r="D837" s="737">
        <f t="shared" si="75"/>
        <v>0</v>
      </c>
      <c r="E837" s="790">
        <f t="shared" si="77"/>
        <v>0</v>
      </c>
      <c r="F837" s="790">
        <f t="shared" si="71"/>
        <v>0</v>
      </c>
      <c r="G837" s="737">
        <f t="shared" si="76"/>
        <v>0</v>
      </c>
      <c r="H837" s="795">
        <f>+J790*G837+E837</f>
        <v>0</v>
      </c>
      <c r="I837" s="796">
        <f>+J791*G837+E837</f>
        <v>0</v>
      </c>
      <c r="J837" s="793">
        <f t="shared" si="78"/>
        <v>0</v>
      </c>
      <c r="K837" s="793"/>
      <c r="L837" s="813"/>
      <c r="M837" s="793">
        <f t="shared" si="72"/>
        <v>0</v>
      </c>
      <c r="N837" s="813"/>
      <c r="O837" s="793">
        <f t="shared" si="73"/>
        <v>0</v>
      </c>
      <c r="P837" s="793">
        <f t="shared" si="74"/>
        <v>0</v>
      </c>
    </row>
    <row r="838" spans="3:16">
      <c r="C838" s="789">
        <f>IF(D789="","-",+C837+1)</f>
        <v>2057</v>
      </c>
      <c r="D838" s="737">
        <f t="shared" si="75"/>
        <v>0</v>
      </c>
      <c r="E838" s="790">
        <f t="shared" si="77"/>
        <v>0</v>
      </c>
      <c r="F838" s="790">
        <f t="shared" si="71"/>
        <v>0</v>
      </c>
      <c r="G838" s="737">
        <f t="shared" si="76"/>
        <v>0</v>
      </c>
      <c r="H838" s="795">
        <f>+J790*G838+E838</f>
        <v>0</v>
      </c>
      <c r="I838" s="796">
        <f>+J791*G838+E838</f>
        <v>0</v>
      </c>
      <c r="J838" s="793">
        <f t="shared" si="78"/>
        <v>0</v>
      </c>
      <c r="K838" s="793"/>
      <c r="L838" s="813"/>
      <c r="M838" s="793">
        <f t="shared" si="72"/>
        <v>0</v>
      </c>
      <c r="N838" s="813"/>
      <c r="O838" s="793">
        <f t="shared" si="73"/>
        <v>0</v>
      </c>
      <c r="P838" s="793">
        <f t="shared" si="74"/>
        <v>0</v>
      </c>
    </row>
    <row r="839" spans="3:16">
      <c r="C839" s="789">
        <f>IF(D789="","-",+C838+1)</f>
        <v>2058</v>
      </c>
      <c r="D839" s="737">
        <f t="shared" si="75"/>
        <v>0</v>
      </c>
      <c r="E839" s="790">
        <f t="shared" si="77"/>
        <v>0</v>
      </c>
      <c r="F839" s="790">
        <f t="shared" si="71"/>
        <v>0</v>
      </c>
      <c r="G839" s="737">
        <f t="shared" si="76"/>
        <v>0</v>
      </c>
      <c r="H839" s="795">
        <f>+J790*G839+E839</f>
        <v>0</v>
      </c>
      <c r="I839" s="796">
        <f>+J791*G839+E839</f>
        <v>0</v>
      </c>
      <c r="J839" s="793">
        <f t="shared" si="78"/>
        <v>0</v>
      </c>
      <c r="K839" s="793"/>
      <c r="L839" s="813"/>
      <c r="M839" s="793">
        <f t="shared" si="72"/>
        <v>0</v>
      </c>
      <c r="N839" s="813"/>
      <c r="O839" s="793">
        <f t="shared" si="73"/>
        <v>0</v>
      </c>
      <c r="P839" s="793">
        <f t="shared" si="74"/>
        <v>0</v>
      </c>
    </row>
    <row r="840" spans="3:16">
      <c r="C840" s="789">
        <f>IF(D789="","-",+C839+1)</f>
        <v>2059</v>
      </c>
      <c r="D840" s="737">
        <f t="shared" si="75"/>
        <v>0</v>
      </c>
      <c r="E840" s="790">
        <f t="shared" si="77"/>
        <v>0</v>
      </c>
      <c r="F840" s="790">
        <f t="shared" si="71"/>
        <v>0</v>
      </c>
      <c r="G840" s="737">
        <f t="shared" si="76"/>
        <v>0</v>
      </c>
      <c r="H840" s="795">
        <f>+J790*G840+E840</f>
        <v>0</v>
      </c>
      <c r="I840" s="796">
        <f>+J791*G840+E840</f>
        <v>0</v>
      </c>
      <c r="J840" s="793">
        <f t="shared" si="78"/>
        <v>0</v>
      </c>
      <c r="K840" s="793"/>
      <c r="L840" s="813"/>
      <c r="M840" s="793">
        <f t="shared" si="72"/>
        <v>0</v>
      </c>
      <c r="N840" s="813"/>
      <c r="O840" s="793">
        <f t="shared" si="73"/>
        <v>0</v>
      </c>
      <c r="P840" s="793">
        <f t="shared" si="74"/>
        <v>0</v>
      </c>
    </row>
    <row r="841" spans="3:16">
      <c r="C841" s="789">
        <f>IF(D789="","-",+C840+1)</f>
        <v>2060</v>
      </c>
      <c r="D841" s="737">
        <f t="shared" si="75"/>
        <v>0</v>
      </c>
      <c r="E841" s="790">
        <f t="shared" si="77"/>
        <v>0</v>
      </c>
      <c r="F841" s="790">
        <f t="shared" si="71"/>
        <v>0</v>
      </c>
      <c r="G841" s="737">
        <f t="shared" si="76"/>
        <v>0</v>
      </c>
      <c r="H841" s="795">
        <f>+J790*G841+E841</f>
        <v>0</v>
      </c>
      <c r="I841" s="796">
        <f>+J791*G841+E841</f>
        <v>0</v>
      </c>
      <c r="J841" s="793">
        <f t="shared" si="78"/>
        <v>0</v>
      </c>
      <c r="K841" s="793"/>
      <c r="L841" s="813"/>
      <c r="M841" s="793">
        <f t="shared" si="72"/>
        <v>0</v>
      </c>
      <c r="N841" s="813"/>
      <c r="O841" s="793">
        <f t="shared" si="73"/>
        <v>0</v>
      </c>
      <c r="P841" s="793">
        <f t="shared" si="74"/>
        <v>0</v>
      </c>
    </row>
    <row r="842" spans="3:16">
      <c r="C842" s="789">
        <f>IF(D789="","-",+C841+1)</f>
        <v>2061</v>
      </c>
      <c r="D842" s="737">
        <f t="shared" si="75"/>
        <v>0</v>
      </c>
      <c r="E842" s="790">
        <f t="shared" si="77"/>
        <v>0</v>
      </c>
      <c r="F842" s="790">
        <f t="shared" si="71"/>
        <v>0</v>
      </c>
      <c r="G842" s="737">
        <f t="shared" si="76"/>
        <v>0</v>
      </c>
      <c r="H842" s="795">
        <f>+J790*G842+E842</f>
        <v>0</v>
      </c>
      <c r="I842" s="796">
        <f>+J791*G842+E842</f>
        <v>0</v>
      </c>
      <c r="J842" s="793">
        <f t="shared" si="78"/>
        <v>0</v>
      </c>
      <c r="K842" s="793"/>
      <c r="L842" s="813"/>
      <c r="M842" s="793">
        <f t="shared" si="72"/>
        <v>0</v>
      </c>
      <c r="N842" s="813"/>
      <c r="O842" s="793">
        <f t="shared" si="73"/>
        <v>0</v>
      </c>
      <c r="P842" s="793">
        <f t="shared" si="74"/>
        <v>0</v>
      </c>
    </row>
    <row r="843" spans="3:16">
      <c r="C843" s="789">
        <f>IF(D789="","-",+C842+1)</f>
        <v>2062</v>
      </c>
      <c r="D843" s="737">
        <f t="shared" si="75"/>
        <v>0</v>
      </c>
      <c r="E843" s="790">
        <f t="shared" si="77"/>
        <v>0</v>
      </c>
      <c r="F843" s="790">
        <f t="shared" si="71"/>
        <v>0</v>
      </c>
      <c r="G843" s="737">
        <f t="shared" si="76"/>
        <v>0</v>
      </c>
      <c r="H843" s="795">
        <f>+J790*G843+E843</f>
        <v>0</v>
      </c>
      <c r="I843" s="796">
        <f>+J791*G843+E843</f>
        <v>0</v>
      </c>
      <c r="J843" s="793">
        <f t="shared" si="78"/>
        <v>0</v>
      </c>
      <c r="K843" s="793"/>
      <c r="L843" s="813"/>
      <c r="M843" s="793">
        <f t="shared" si="72"/>
        <v>0</v>
      </c>
      <c r="N843" s="813"/>
      <c r="O843" s="793">
        <f t="shared" si="73"/>
        <v>0</v>
      </c>
      <c r="P843" s="793">
        <f t="shared" si="74"/>
        <v>0</v>
      </c>
    </row>
    <row r="844" spans="3:16">
      <c r="C844" s="789">
        <f>IF(D789="","-",+C843+1)</f>
        <v>2063</v>
      </c>
      <c r="D844" s="737">
        <f t="shared" si="75"/>
        <v>0</v>
      </c>
      <c r="E844" s="790">
        <f t="shared" si="77"/>
        <v>0</v>
      </c>
      <c r="F844" s="790">
        <f t="shared" si="71"/>
        <v>0</v>
      </c>
      <c r="G844" s="737">
        <f t="shared" si="76"/>
        <v>0</v>
      </c>
      <c r="H844" s="795">
        <f>+J790*G844+E844</f>
        <v>0</v>
      </c>
      <c r="I844" s="796">
        <f>+J791*G844+E844</f>
        <v>0</v>
      </c>
      <c r="J844" s="793">
        <f t="shared" si="78"/>
        <v>0</v>
      </c>
      <c r="K844" s="793"/>
      <c r="L844" s="813"/>
      <c r="M844" s="793">
        <f t="shared" si="72"/>
        <v>0</v>
      </c>
      <c r="N844" s="813"/>
      <c r="O844" s="793">
        <f t="shared" si="73"/>
        <v>0</v>
      </c>
      <c r="P844" s="793">
        <f t="shared" si="74"/>
        <v>0</v>
      </c>
    </row>
    <row r="845" spans="3:16">
      <c r="C845" s="789">
        <f>IF(D789="","-",+C844+1)</f>
        <v>2064</v>
      </c>
      <c r="D845" s="737">
        <f t="shared" si="75"/>
        <v>0</v>
      </c>
      <c r="E845" s="790">
        <f t="shared" si="77"/>
        <v>0</v>
      </c>
      <c r="F845" s="790">
        <f t="shared" si="71"/>
        <v>0</v>
      </c>
      <c r="G845" s="737">
        <f t="shared" si="76"/>
        <v>0</v>
      </c>
      <c r="H845" s="795">
        <f>+J790*G845+E845</f>
        <v>0</v>
      </c>
      <c r="I845" s="796">
        <f>+J791*G845+E845</f>
        <v>0</v>
      </c>
      <c r="J845" s="793">
        <f t="shared" si="78"/>
        <v>0</v>
      </c>
      <c r="K845" s="793"/>
      <c r="L845" s="813"/>
      <c r="M845" s="793">
        <f t="shared" si="72"/>
        <v>0</v>
      </c>
      <c r="N845" s="813"/>
      <c r="O845" s="793">
        <f t="shared" si="73"/>
        <v>0</v>
      </c>
      <c r="P845" s="793">
        <f t="shared" si="74"/>
        <v>0</v>
      </c>
    </row>
    <row r="846" spans="3:16">
      <c r="C846" s="789">
        <f>IF(D789="","-",+C845+1)</f>
        <v>2065</v>
      </c>
      <c r="D846" s="737">
        <f t="shared" si="75"/>
        <v>0</v>
      </c>
      <c r="E846" s="790">
        <f t="shared" si="77"/>
        <v>0</v>
      </c>
      <c r="F846" s="790">
        <f t="shared" si="71"/>
        <v>0</v>
      </c>
      <c r="G846" s="737">
        <f t="shared" si="76"/>
        <v>0</v>
      </c>
      <c r="H846" s="795">
        <f>+J790*G846+E846</f>
        <v>0</v>
      </c>
      <c r="I846" s="796">
        <f>+J791*G846+E846</f>
        <v>0</v>
      </c>
      <c r="J846" s="793">
        <f t="shared" si="78"/>
        <v>0</v>
      </c>
      <c r="K846" s="793"/>
      <c r="L846" s="813"/>
      <c r="M846" s="793">
        <f t="shared" si="72"/>
        <v>0</v>
      </c>
      <c r="N846" s="813"/>
      <c r="O846" s="793">
        <f t="shared" si="73"/>
        <v>0</v>
      </c>
      <c r="P846" s="793">
        <f t="shared" si="74"/>
        <v>0</v>
      </c>
    </row>
    <row r="847" spans="3:16">
      <c r="C847" s="789">
        <f>IF(D789="","-",+C846+1)</f>
        <v>2066</v>
      </c>
      <c r="D847" s="737">
        <f t="shared" si="75"/>
        <v>0</v>
      </c>
      <c r="E847" s="790">
        <f t="shared" si="77"/>
        <v>0</v>
      </c>
      <c r="F847" s="790">
        <f t="shared" si="71"/>
        <v>0</v>
      </c>
      <c r="G847" s="737">
        <f t="shared" si="76"/>
        <v>0</v>
      </c>
      <c r="H847" s="795">
        <f>+J790*G847+E847</f>
        <v>0</v>
      </c>
      <c r="I847" s="796">
        <f>+J791*G847+E847</f>
        <v>0</v>
      </c>
      <c r="J847" s="793">
        <f t="shared" si="78"/>
        <v>0</v>
      </c>
      <c r="K847" s="793"/>
      <c r="L847" s="813"/>
      <c r="M847" s="793">
        <f t="shared" si="72"/>
        <v>0</v>
      </c>
      <c r="N847" s="813"/>
      <c r="O847" s="793">
        <f t="shared" si="73"/>
        <v>0</v>
      </c>
      <c r="P847" s="793">
        <f t="shared" si="74"/>
        <v>0</v>
      </c>
    </row>
    <row r="848" spans="3:16">
      <c r="C848" s="789">
        <f>IF(D789="","-",+C847+1)</f>
        <v>2067</v>
      </c>
      <c r="D848" s="737">
        <f t="shared" si="75"/>
        <v>0</v>
      </c>
      <c r="E848" s="790">
        <f t="shared" si="77"/>
        <v>0</v>
      </c>
      <c r="F848" s="790">
        <f t="shared" si="71"/>
        <v>0</v>
      </c>
      <c r="G848" s="737">
        <f t="shared" si="76"/>
        <v>0</v>
      </c>
      <c r="H848" s="795">
        <f>+J790*G848+E848</f>
        <v>0</v>
      </c>
      <c r="I848" s="796">
        <f>+J791*G848+E848</f>
        <v>0</v>
      </c>
      <c r="J848" s="793">
        <f t="shared" si="78"/>
        <v>0</v>
      </c>
      <c r="K848" s="793"/>
      <c r="L848" s="813"/>
      <c r="M848" s="793">
        <f t="shared" si="72"/>
        <v>0</v>
      </c>
      <c r="N848" s="813"/>
      <c r="O848" s="793">
        <f t="shared" si="73"/>
        <v>0</v>
      </c>
      <c r="P848" s="793">
        <f t="shared" si="74"/>
        <v>0</v>
      </c>
    </row>
    <row r="849" spans="1:17">
      <c r="C849" s="789">
        <f>IF(D789="","-",+C848+1)</f>
        <v>2068</v>
      </c>
      <c r="D849" s="737">
        <f t="shared" ref="D849:D854" si="79">F848</f>
        <v>0</v>
      </c>
      <c r="E849" s="790">
        <f t="shared" si="77"/>
        <v>0</v>
      </c>
      <c r="F849" s="790">
        <f t="shared" si="71"/>
        <v>0</v>
      </c>
      <c r="G849" s="737">
        <f t="shared" si="76"/>
        <v>0</v>
      </c>
      <c r="H849" s="795">
        <f>+J790*G849+E849</f>
        <v>0</v>
      </c>
      <c r="I849" s="796">
        <f>+J791*G849+E849</f>
        <v>0</v>
      </c>
      <c r="J849" s="793">
        <f t="shared" si="78"/>
        <v>0</v>
      </c>
      <c r="K849" s="793"/>
      <c r="L849" s="813"/>
      <c r="M849" s="793">
        <f t="shared" si="72"/>
        <v>0</v>
      </c>
      <c r="N849" s="813"/>
      <c r="O849" s="793">
        <f t="shared" si="73"/>
        <v>0</v>
      </c>
      <c r="P849" s="793">
        <f t="shared" si="74"/>
        <v>0</v>
      </c>
    </row>
    <row r="850" spans="1:17">
      <c r="C850" s="789">
        <f>IF(D789="","-",+C849+1)</f>
        <v>2069</v>
      </c>
      <c r="D850" s="737">
        <f t="shared" si="79"/>
        <v>0</v>
      </c>
      <c r="E850" s="790">
        <f t="shared" si="77"/>
        <v>0</v>
      </c>
      <c r="F850" s="790">
        <f t="shared" si="71"/>
        <v>0</v>
      </c>
      <c r="G850" s="737">
        <f t="shared" si="76"/>
        <v>0</v>
      </c>
      <c r="H850" s="795">
        <f>+J790*G850+E850</f>
        <v>0</v>
      </c>
      <c r="I850" s="796">
        <f>+J791*G850+E850</f>
        <v>0</v>
      </c>
      <c r="J850" s="793">
        <f t="shared" si="78"/>
        <v>0</v>
      </c>
      <c r="K850" s="793"/>
      <c r="L850" s="813"/>
      <c r="M850" s="793">
        <f t="shared" si="72"/>
        <v>0</v>
      </c>
      <c r="N850" s="813"/>
      <c r="O850" s="793">
        <f t="shared" si="73"/>
        <v>0</v>
      </c>
      <c r="P850" s="793">
        <f t="shared" si="74"/>
        <v>0</v>
      </c>
    </row>
    <row r="851" spans="1:17">
      <c r="C851" s="789">
        <f>IF(D789="","-",+C850+1)</f>
        <v>2070</v>
      </c>
      <c r="D851" s="737">
        <f t="shared" si="79"/>
        <v>0</v>
      </c>
      <c r="E851" s="790">
        <f t="shared" si="77"/>
        <v>0</v>
      </c>
      <c r="F851" s="790">
        <f t="shared" si="71"/>
        <v>0</v>
      </c>
      <c r="G851" s="737">
        <f t="shared" si="76"/>
        <v>0</v>
      </c>
      <c r="H851" s="795">
        <f>+J790*G851+E851</f>
        <v>0</v>
      </c>
      <c r="I851" s="796">
        <f>+J791*G851+E851</f>
        <v>0</v>
      </c>
      <c r="J851" s="793">
        <f t="shared" si="78"/>
        <v>0</v>
      </c>
      <c r="K851" s="793"/>
      <c r="L851" s="813"/>
      <c r="M851" s="793">
        <f t="shared" si="72"/>
        <v>0</v>
      </c>
      <c r="N851" s="813"/>
      <c r="O851" s="793">
        <f t="shared" si="73"/>
        <v>0</v>
      </c>
      <c r="P851" s="793">
        <f t="shared" si="74"/>
        <v>0</v>
      </c>
    </row>
    <row r="852" spans="1:17">
      <c r="C852" s="789">
        <f>IF(D789="","-",+C851+1)</f>
        <v>2071</v>
      </c>
      <c r="D852" s="737">
        <f t="shared" si="79"/>
        <v>0</v>
      </c>
      <c r="E852" s="790">
        <f t="shared" si="77"/>
        <v>0</v>
      </c>
      <c r="F852" s="790">
        <f t="shared" si="71"/>
        <v>0</v>
      </c>
      <c r="G852" s="737">
        <f t="shared" si="76"/>
        <v>0</v>
      </c>
      <c r="H852" s="795">
        <f>+J790*G852+E852</f>
        <v>0</v>
      </c>
      <c r="I852" s="796">
        <f>+J791*G852+E852</f>
        <v>0</v>
      </c>
      <c r="J852" s="793">
        <f t="shared" si="78"/>
        <v>0</v>
      </c>
      <c r="K852" s="793"/>
      <c r="L852" s="813"/>
      <c r="M852" s="793">
        <f t="shared" si="72"/>
        <v>0</v>
      </c>
      <c r="N852" s="813"/>
      <c r="O852" s="793">
        <f t="shared" si="73"/>
        <v>0</v>
      </c>
      <c r="P852" s="793">
        <f t="shared" si="74"/>
        <v>0</v>
      </c>
    </row>
    <row r="853" spans="1:17">
      <c r="C853" s="789">
        <f>IF(D789="","-",+C852+1)</f>
        <v>2072</v>
      </c>
      <c r="D853" s="737">
        <f t="shared" si="79"/>
        <v>0</v>
      </c>
      <c r="E853" s="790">
        <f t="shared" si="77"/>
        <v>0</v>
      </c>
      <c r="F853" s="790">
        <f t="shared" si="71"/>
        <v>0</v>
      </c>
      <c r="G853" s="737">
        <f t="shared" si="76"/>
        <v>0</v>
      </c>
      <c r="H853" s="795">
        <f>+J790*G853+E853</f>
        <v>0</v>
      </c>
      <c r="I853" s="796">
        <f>+J791*G853+E853</f>
        <v>0</v>
      </c>
      <c r="J853" s="793">
        <f t="shared" si="78"/>
        <v>0</v>
      </c>
      <c r="K853" s="793"/>
      <c r="L853" s="813"/>
      <c r="M853" s="793">
        <f t="shared" si="72"/>
        <v>0</v>
      </c>
      <c r="N853" s="813"/>
      <c r="O853" s="793">
        <f t="shared" si="73"/>
        <v>0</v>
      </c>
      <c r="P853" s="793">
        <f t="shared" si="74"/>
        <v>0</v>
      </c>
    </row>
    <row r="854" spans="1:17" ht="13.5" thickBot="1">
      <c r="C854" s="799">
        <f>IF(D789="","-",+C853+1)</f>
        <v>2073</v>
      </c>
      <c r="D854" s="800">
        <f t="shared" si="79"/>
        <v>0</v>
      </c>
      <c r="E854" s="801">
        <f t="shared" si="77"/>
        <v>0</v>
      </c>
      <c r="F854" s="801">
        <f t="shared" si="71"/>
        <v>0</v>
      </c>
      <c r="G854" s="800">
        <f t="shared" si="76"/>
        <v>0</v>
      </c>
      <c r="H854" s="802">
        <f>+J790*G854+E854</f>
        <v>0</v>
      </c>
      <c r="I854" s="802">
        <f>+J791*G854+E854</f>
        <v>0</v>
      </c>
      <c r="J854" s="803">
        <f t="shared" si="78"/>
        <v>0</v>
      </c>
      <c r="K854" s="793"/>
      <c r="L854" s="814"/>
      <c r="M854" s="803">
        <f t="shared" si="72"/>
        <v>0</v>
      </c>
      <c r="N854" s="814"/>
      <c r="O854" s="803">
        <f t="shared" si="73"/>
        <v>0</v>
      </c>
      <c r="P854" s="803">
        <f t="shared" si="74"/>
        <v>0</v>
      </c>
    </row>
    <row r="855" spans="1:17">
      <c r="C855" s="737" t="s">
        <v>83</v>
      </c>
      <c r="D855" s="731"/>
      <c r="E855" s="731">
        <f>SUM(E795:E854)</f>
        <v>75905192.450000003</v>
      </c>
      <c r="F855" s="731"/>
      <c r="G855" s="731"/>
      <c r="H855" s="731">
        <f>SUM(H795:H854)</f>
        <v>255420183.02354464</v>
      </c>
      <c r="I855" s="731">
        <f>SUM(I795:I854)</f>
        <v>255420183.02354464</v>
      </c>
      <c r="J855" s="731">
        <f>SUM(J795:J854)</f>
        <v>0</v>
      </c>
      <c r="K855" s="731"/>
      <c r="L855" s="731"/>
      <c r="M855" s="731"/>
      <c r="N855" s="731"/>
      <c r="O855" s="731"/>
    </row>
    <row r="856" spans="1:17">
      <c r="D856" s="539"/>
      <c r="E856" s="314"/>
      <c r="F856" s="314"/>
      <c r="G856" s="314"/>
      <c r="H856" s="314"/>
      <c r="I856" s="709"/>
      <c r="J856" s="709"/>
      <c r="K856" s="731"/>
      <c r="L856" s="709"/>
      <c r="M856" s="709"/>
      <c r="N856" s="709"/>
      <c r="O856" s="709"/>
    </row>
    <row r="857" spans="1:17">
      <c r="C857" s="314" t="s">
        <v>13</v>
      </c>
      <c r="D857" s="539"/>
      <c r="E857" s="314"/>
      <c r="F857" s="314"/>
      <c r="G857" s="314"/>
      <c r="H857" s="314"/>
      <c r="I857" s="709"/>
      <c r="J857" s="709"/>
      <c r="K857" s="731"/>
      <c r="L857" s="709"/>
      <c r="M857" s="709"/>
      <c r="N857" s="709"/>
      <c r="O857" s="709"/>
    </row>
    <row r="858" spans="1:17">
      <c r="C858" s="314"/>
      <c r="D858" s="539"/>
      <c r="E858" s="314"/>
      <c r="F858" s="314"/>
      <c r="G858" s="314"/>
      <c r="H858" s="314"/>
      <c r="I858" s="709"/>
      <c r="J858" s="709"/>
      <c r="K858" s="731"/>
      <c r="L858" s="709"/>
      <c r="M858" s="709"/>
      <c r="N858" s="709"/>
      <c r="O858" s="709"/>
    </row>
    <row r="859" spans="1:17">
      <c r="C859" s="750" t="s">
        <v>14</v>
      </c>
      <c r="D859" s="737"/>
      <c r="E859" s="737"/>
      <c r="F859" s="737"/>
      <c r="G859" s="737"/>
      <c r="H859" s="731"/>
      <c r="I859" s="731"/>
      <c r="J859" s="805"/>
      <c r="K859" s="805"/>
      <c r="L859" s="805"/>
      <c r="M859" s="805"/>
      <c r="N859" s="805"/>
      <c r="O859" s="805"/>
    </row>
    <row r="860" spans="1:17">
      <c r="C860" s="736" t="s">
        <v>263</v>
      </c>
      <c r="D860" s="737"/>
      <c r="E860" s="737"/>
      <c r="F860" s="737"/>
      <c r="G860" s="737"/>
      <c r="H860" s="731"/>
      <c r="I860" s="731"/>
      <c r="J860" s="805"/>
      <c r="K860" s="805"/>
      <c r="L860" s="805"/>
      <c r="M860" s="805"/>
      <c r="N860" s="805"/>
      <c r="O860" s="805"/>
    </row>
    <row r="861" spans="1:17">
      <c r="C861" s="736" t="s">
        <v>84</v>
      </c>
      <c r="D861" s="737"/>
      <c r="E861" s="737"/>
      <c r="F861" s="737"/>
      <c r="G861" s="737"/>
      <c r="H861" s="731"/>
      <c r="I861" s="731"/>
      <c r="J861" s="805"/>
      <c r="K861" s="805"/>
      <c r="L861" s="805"/>
      <c r="M861" s="805"/>
      <c r="N861" s="805"/>
      <c r="O861" s="805"/>
    </row>
    <row r="863" spans="1:17" ht="20.25">
      <c r="A863" s="738" t="str">
        <f>""&amp;A788&amp;" Worksheet K -  ATRR TRUE-UP Calculation for PJM Projects Charged to Benefiting Zones"</f>
        <v xml:space="preserve"> Worksheet K -  ATRR TRUE-UP Calculation for PJM Projects Charged to Benefiting Zones</v>
      </c>
      <c r="B863" s="348"/>
      <c r="C863" s="726"/>
      <c r="D863" s="539"/>
      <c r="E863" s="314"/>
      <c r="F863" s="708"/>
      <c r="G863" s="708"/>
      <c r="H863" s="314"/>
      <c r="I863" s="709"/>
      <c r="L863" s="565"/>
      <c r="M863" s="565"/>
      <c r="N863" s="565"/>
      <c r="O863" s="654" t="str">
        <f>"Page "&amp;SUM(Q$8:Q863)&amp;" of "</f>
        <v xml:space="preserve">Page 11 of </v>
      </c>
      <c r="P863" s="655">
        <f>COUNT(Q$8:Q$57702)</f>
        <v>12</v>
      </c>
      <c r="Q863" s="173">
        <v>1</v>
      </c>
    </row>
    <row r="864" spans="1:17">
      <c r="B864" s="348"/>
      <c r="C864" s="314"/>
      <c r="D864" s="539"/>
      <c r="E864" s="314"/>
      <c r="F864" s="314"/>
      <c r="G864" s="314"/>
      <c r="H864" s="314"/>
      <c r="I864" s="709"/>
      <c r="J864" s="314"/>
      <c r="K864" s="427"/>
    </row>
    <row r="865" spans="2:16" ht="18">
      <c r="B865" s="658" t="s">
        <v>466</v>
      </c>
      <c r="C865" s="740" t="s">
        <v>85</v>
      </c>
      <c r="D865" s="539"/>
      <c r="E865" s="314"/>
      <c r="F865" s="314"/>
      <c r="G865" s="314"/>
      <c r="H865" s="314"/>
      <c r="I865" s="709"/>
      <c r="J865" s="709"/>
      <c r="K865" s="731"/>
      <c r="L865" s="709"/>
      <c r="M865" s="709"/>
      <c r="N865" s="709"/>
      <c r="O865" s="709"/>
    </row>
    <row r="866" spans="2:16" ht="18.75">
      <c r="B866" s="658"/>
      <c r="C866" s="657"/>
      <c r="D866" s="539"/>
      <c r="E866" s="314"/>
      <c r="F866" s="314"/>
      <c r="G866" s="314"/>
      <c r="H866" s="314"/>
      <c r="I866" s="709"/>
      <c r="J866" s="709"/>
      <c r="K866" s="731"/>
      <c r="L866" s="709"/>
      <c r="M866" s="709"/>
      <c r="N866" s="709"/>
      <c r="O866" s="709"/>
    </row>
    <row r="867" spans="2:16" ht="18.75">
      <c r="B867" s="658"/>
      <c r="C867" s="657" t="s">
        <v>86</v>
      </c>
      <c r="D867" s="539"/>
      <c r="E867" s="314"/>
      <c r="F867" s="314"/>
      <c r="G867" s="314"/>
      <c r="H867" s="314"/>
      <c r="I867" s="709"/>
      <c r="J867" s="709"/>
      <c r="K867" s="731"/>
      <c r="L867" s="709"/>
      <c r="M867" s="709"/>
      <c r="N867" s="709"/>
      <c r="O867" s="709"/>
    </row>
    <row r="868" spans="2:16" ht="15.75" thickBot="1">
      <c r="C868" s="240"/>
      <c r="D868" s="539"/>
      <c r="E868" s="314"/>
      <c r="F868" s="314"/>
      <c r="G868" s="314"/>
      <c r="H868" s="314"/>
      <c r="I868" s="709"/>
      <c r="J868" s="709"/>
      <c r="K868" s="731"/>
      <c r="L868" s="709"/>
      <c r="M868" s="709"/>
      <c r="N868" s="709"/>
      <c r="O868" s="709"/>
    </row>
    <row r="869" spans="2:16" ht="15.75">
      <c r="C869" s="660" t="s">
        <v>87</v>
      </c>
      <c r="D869" s="539"/>
      <c r="E869" s="314"/>
      <c r="F869" s="314"/>
      <c r="G869" s="314"/>
      <c r="H869" s="807"/>
      <c r="I869" s="314" t="s">
        <v>66</v>
      </c>
      <c r="J869" s="314"/>
      <c r="K869" s="427"/>
      <c r="L869" s="836">
        <f>+J875</f>
        <v>2022</v>
      </c>
      <c r="M869" s="817" t="s">
        <v>45</v>
      </c>
      <c r="N869" s="817" t="s">
        <v>46</v>
      </c>
      <c r="O869" s="818" t="s">
        <v>47</v>
      </c>
    </row>
    <row r="870" spans="2:16" ht="15.75">
      <c r="C870" s="660"/>
      <c r="D870" s="539"/>
      <c r="E870" s="314"/>
      <c r="F870" s="314"/>
      <c r="H870" s="314"/>
      <c r="I870" s="745"/>
      <c r="J870" s="745"/>
      <c r="K870" s="746"/>
      <c r="L870" s="837" t="s">
        <v>235</v>
      </c>
      <c r="M870" s="838">
        <f>VLOOKUP(J875,C882:P941,10)</f>
        <v>1471306.1863906332</v>
      </c>
      <c r="N870" s="838">
        <f>VLOOKUP(J875,C882:P941,12)</f>
        <v>1471306.1863906332</v>
      </c>
      <c r="O870" s="839">
        <f>+N870-M870</f>
        <v>0</v>
      </c>
    </row>
    <row r="871" spans="2:16">
      <c r="C871" s="750" t="s">
        <v>88</v>
      </c>
      <c r="D871" s="1567" t="s">
        <v>821</v>
      </c>
      <c r="E871" s="1567"/>
      <c r="F871" s="1567"/>
      <c r="G871" s="1567"/>
      <c r="H871" s="1567"/>
      <c r="I871" s="1567"/>
      <c r="J871" s="709"/>
      <c r="K871" s="731"/>
      <c r="L871" s="837" t="s">
        <v>236</v>
      </c>
      <c r="M871" s="840">
        <f>VLOOKUP(J875,C882:P941,6)</f>
        <v>1495746.9814833016</v>
      </c>
      <c r="N871" s="840">
        <f>VLOOKUP(J875,C882:P941,7)</f>
        <v>1495746.9814833016</v>
      </c>
      <c r="O871" s="841">
        <f>+N871-M871</f>
        <v>0</v>
      </c>
    </row>
    <row r="872" spans="2:16" ht="13.5" thickBot="1">
      <c r="C872" s="754"/>
      <c r="D872" s="755"/>
      <c r="E872" s="735"/>
      <c r="F872" s="735"/>
      <c r="G872" s="735"/>
      <c r="H872" s="756"/>
      <c r="I872" s="709"/>
      <c r="J872" s="709"/>
      <c r="K872" s="731"/>
      <c r="L872" s="773" t="s">
        <v>237</v>
      </c>
      <c r="M872" s="842">
        <f>+M871-M870</f>
        <v>24440.795092668384</v>
      </c>
      <c r="N872" s="842">
        <f>+N871-N870</f>
        <v>24440.795092668384</v>
      </c>
      <c r="O872" s="843">
        <f>+O871-O870</f>
        <v>0</v>
      </c>
    </row>
    <row r="873" spans="2:16" ht="13.5" thickBot="1">
      <c r="C873" s="757"/>
      <c r="D873" s="758"/>
      <c r="E873" s="756"/>
      <c r="F873" s="756"/>
      <c r="G873" s="756"/>
      <c r="H873" s="756"/>
      <c r="I873" s="756"/>
      <c r="J873" s="756"/>
      <c r="K873" s="759"/>
      <c r="L873" s="756"/>
      <c r="M873" s="756"/>
      <c r="N873" s="756"/>
      <c r="O873" s="756"/>
      <c r="P873" s="348"/>
    </row>
    <row r="874" spans="2:16" ht="13.5" thickBot="1">
      <c r="C874" s="760" t="s">
        <v>89</v>
      </c>
      <c r="D874" s="761"/>
      <c r="E874" s="761"/>
      <c r="F874" s="761"/>
      <c r="G874" s="761"/>
      <c r="H874" s="761"/>
      <c r="I874" s="761"/>
      <c r="J874" s="761"/>
      <c r="K874" s="763"/>
      <c r="P874" s="764"/>
    </row>
    <row r="875" spans="2:16" ht="15">
      <c r="C875" s="765" t="s">
        <v>67</v>
      </c>
      <c r="D875" s="809">
        <v>12409951.040000001</v>
      </c>
      <c r="E875" s="726" t="s">
        <v>68</v>
      </c>
      <c r="H875" s="766"/>
      <c r="I875" s="766"/>
      <c r="J875" s="767">
        <f>$J$93</f>
        <v>2022</v>
      </c>
      <c r="K875" s="555"/>
      <c r="L875" s="1569" t="s">
        <v>69</v>
      </c>
      <c r="M875" s="1569"/>
      <c r="N875" s="1569"/>
      <c r="O875" s="1569"/>
      <c r="P875" s="427"/>
    </row>
    <row r="876" spans="2:16">
      <c r="C876" s="765" t="s">
        <v>70</v>
      </c>
      <c r="D876" s="810">
        <v>2016</v>
      </c>
      <c r="E876" s="765" t="s">
        <v>71</v>
      </c>
      <c r="F876" s="766"/>
      <c r="G876" s="766"/>
      <c r="I876" s="173"/>
      <c r="J876" s="811">
        <f>IF(H869="",0,$F$17)</f>
        <v>0</v>
      </c>
      <c r="K876" s="768"/>
      <c r="L876" s="731" t="s">
        <v>277</v>
      </c>
      <c r="P876" s="427"/>
    </row>
    <row r="877" spans="2:16">
      <c r="C877" s="765" t="s">
        <v>72</v>
      </c>
      <c r="D877" s="809">
        <v>11</v>
      </c>
      <c r="E877" s="765" t="s">
        <v>73</v>
      </c>
      <c r="F877" s="766"/>
      <c r="G877" s="766"/>
      <c r="I877" s="173"/>
      <c r="J877" s="769">
        <f>$F$70</f>
        <v>0.11129362813814259</v>
      </c>
      <c r="K877" s="770"/>
      <c r="L877" s="314" t="str">
        <f>"          INPUT TRUE-UP ARR (WITH &amp; WITHOUT INCENTIVES) FROM EACH PRIOR YEAR"</f>
        <v xml:space="preserve">          INPUT TRUE-UP ARR (WITH &amp; WITHOUT INCENTIVES) FROM EACH PRIOR YEAR</v>
      </c>
      <c r="P877" s="427"/>
    </row>
    <row r="878" spans="2:16">
      <c r="C878" s="765" t="s">
        <v>74</v>
      </c>
      <c r="D878" s="771">
        <f>H$79</f>
        <v>41</v>
      </c>
      <c r="E878" s="765" t="s">
        <v>75</v>
      </c>
      <c r="F878" s="766"/>
      <c r="G878" s="766"/>
      <c r="I878" s="173"/>
      <c r="J878" s="769">
        <f>IF(H869="",+J877,$F$69)</f>
        <v>0.11129362813814259</v>
      </c>
      <c r="K878" s="772"/>
      <c r="L878" s="314" t="s">
        <v>157</v>
      </c>
      <c r="M878" s="772"/>
      <c r="N878" s="772"/>
      <c r="O878" s="772"/>
      <c r="P878" s="427"/>
    </row>
    <row r="879" spans="2:16" ht="13.5" thickBot="1">
      <c r="C879" s="765" t="s">
        <v>76</v>
      </c>
      <c r="D879" s="808" t="s">
        <v>811</v>
      </c>
      <c r="E879" s="773" t="s">
        <v>77</v>
      </c>
      <c r="F879" s="774"/>
      <c r="G879" s="774"/>
      <c r="H879" s="775"/>
      <c r="I879" s="775"/>
      <c r="J879" s="753">
        <f>IF(D875=0,0,D875/D878)</f>
        <v>302681.73268292687</v>
      </c>
      <c r="K879" s="731"/>
      <c r="L879" s="731" t="s">
        <v>158</v>
      </c>
      <c r="M879" s="731"/>
      <c r="N879" s="731"/>
      <c r="O879" s="731"/>
      <c r="P879" s="427"/>
    </row>
    <row r="880" spans="2:16" ht="38.25">
      <c r="B880" s="846"/>
      <c r="C880" s="776" t="s">
        <v>67</v>
      </c>
      <c r="D880" s="777" t="s">
        <v>78</v>
      </c>
      <c r="E880" s="778" t="s">
        <v>79</v>
      </c>
      <c r="F880" s="777" t="s">
        <v>80</v>
      </c>
      <c r="G880" s="777" t="s">
        <v>238</v>
      </c>
      <c r="H880" s="778" t="s">
        <v>151</v>
      </c>
      <c r="I880" s="779" t="s">
        <v>151</v>
      </c>
      <c r="J880" s="776" t="s">
        <v>90</v>
      </c>
      <c r="K880" s="780"/>
      <c r="L880" s="778" t="s">
        <v>153</v>
      </c>
      <c r="M880" s="778" t="s">
        <v>159</v>
      </c>
      <c r="N880" s="778" t="s">
        <v>153</v>
      </c>
      <c r="O880" s="778" t="s">
        <v>161</v>
      </c>
      <c r="P880" s="778" t="s">
        <v>81</v>
      </c>
    </row>
    <row r="881" spans="3:16" ht="13.5" thickBot="1">
      <c r="C881" s="782" t="s">
        <v>469</v>
      </c>
      <c r="D881" s="783" t="s">
        <v>470</v>
      </c>
      <c r="E881" s="782" t="s">
        <v>363</v>
      </c>
      <c r="F881" s="783" t="s">
        <v>470</v>
      </c>
      <c r="G881" s="783" t="s">
        <v>470</v>
      </c>
      <c r="H881" s="784" t="s">
        <v>93</v>
      </c>
      <c r="I881" s="785" t="s">
        <v>95</v>
      </c>
      <c r="J881" s="786" t="s">
        <v>15</v>
      </c>
      <c r="K881" s="787"/>
      <c r="L881" s="784" t="s">
        <v>82</v>
      </c>
      <c r="M881" s="784" t="s">
        <v>82</v>
      </c>
      <c r="N881" s="784" t="s">
        <v>255</v>
      </c>
      <c r="O881" s="784" t="s">
        <v>255</v>
      </c>
      <c r="P881" s="784" t="s">
        <v>255</v>
      </c>
    </row>
    <row r="882" spans="3:16">
      <c r="C882" s="789">
        <f>IF(D876= "","-",D876)</f>
        <v>2016</v>
      </c>
      <c r="D882" s="737">
        <f>+D875</f>
        <v>12409951.040000001</v>
      </c>
      <c r="E882" s="795">
        <f>+J879/12*(12-D877)</f>
        <v>25223.477723577238</v>
      </c>
      <c r="F882" s="844">
        <f t="shared" ref="F882:F941" si="80">+D882-E882</f>
        <v>12384727.562276423</v>
      </c>
      <c r="G882" s="737">
        <f>+(D882+F882)/2</f>
        <v>12397339.301138211</v>
      </c>
      <c r="H882" s="791">
        <f>+J877*G882+E882</f>
        <v>1404968.3478068339</v>
      </c>
      <c r="I882" s="792">
        <f>+J878*G882+E882</f>
        <v>1404968.3478068339</v>
      </c>
      <c r="J882" s="793">
        <f>+I882-H882</f>
        <v>0</v>
      </c>
      <c r="K882" s="793"/>
      <c r="L882" s="812"/>
      <c r="M882" s="845">
        <f t="shared" ref="M882:M941" si="81">IF(L882&lt;&gt;0,+H882-L882,0)</f>
        <v>0</v>
      </c>
      <c r="N882" s="812"/>
      <c r="O882" s="845">
        <f t="shared" ref="O882:O941" si="82">IF(N882&lt;&gt;0,+I882-N882,0)</f>
        <v>0</v>
      </c>
      <c r="P882" s="845">
        <f t="shared" ref="P882:P941" si="83">+O882-M882</f>
        <v>0</v>
      </c>
    </row>
    <row r="883" spans="3:16">
      <c r="C883" s="789">
        <f>IF(D876="","-",+C882+1)</f>
        <v>2017</v>
      </c>
      <c r="D883" s="737">
        <f t="shared" ref="D883:D935" si="84">F882</f>
        <v>12384727.562276423</v>
      </c>
      <c r="E883" s="790">
        <f>IF(D883&gt;$J$879,$J$879,D883)</f>
        <v>302681.73268292687</v>
      </c>
      <c r="F883" s="790">
        <f t="shared" si="80"/>
        <v>12082045.829593496</v>
      </c>
      <c r="G883" s="737">
        <f t="shared" ref="G883:G941" si="85">+(D883+F883)/2</f>
        <v>12233386.695934959</v>
      </c>
      <c r="H883" s="795">
        <f>+J877*G883+E883</f>
        <v>1664179.7224904129</v>
      </c>
      <c r="I883" s="796">
        <f>+J878*G883+E883</f>
        <v>1664179.7224904129</v>
      </c>
      <c r="J883" s="793">
        <f>+I883-H883</f>
        <v>0</v>
      </c>
      <c r="K883" s="793"/>
      <c r="L883" s="813">
        <v>781130</v>
      </c>
      <c r="M883" s="793">
        <f t="shared" si="81"/>
        <v>883049.72249041288</v>
      </c>
      <c r="N883" s="813">
        <v>781130</v>
      </c>
      <c r="O883" s="793">
        <f t="shared" si="82"/>
        <v>883049.72249041288</v>
      </c>
      <c r="P883" s="793">
        <f t="shared" si="83"/>
        <v>0</v>
      </c>
    </row>
    <row r="884" spans="3:16">
      <c r="C884" s="789">
        <f>IF(D876="","-",+C883+1)</f>
        <v>2018</v>
      </c>
      <c r="D884" s="1377">
        <f t="shared" si="84"/>
        <v>12082045.829593496</v>
      </c>
      <c r="E884" s="790">
        <f t="shared" ref="E884:E941" si="86">IF(D884&gt;$J$879,$J$879,D884)</f>
        <v>302681.73268292687</v>
      </c>
      <c r="F884" s="790">
        <f t="shared" si="80"/>
        <v>11779364.09691057</v>
      </c>
      <c r="G884" s="737">
        <f t="shared" si="85"/>
        <v>11930704.963252034</v>
      </c>
      <c r="H884" s="795">
        <f>+J877*G884+E884</f>
        <v>1630493.1742889909</v>
      </c>
      <c r="I884" s="796">
        <f>+J878*G884+E884</f>
        <v>1630493.1742889909</v>
      </c>
      <c r="J884" s="793">
        <f t="shared" ref="J884:J941" si="87">+I884-H884</f>
        <v>0</v>
      </c>
      <c r="K884" s="793"/>
      <c r="L884" s="813">
        <v>1367423</v>
      </c>
      <c r="M884" s="793">
        <f t="shared" si="81"/>
        <v>263070.17428899091</v>
      </c>
      <c r="N884" s="813">
        <v>1367423</v>
      </c>
      <c r="O884" s="793">
        <f t="shared" si="82"/>
        <v>263070.17428899091</v>
      </c>
      <c r="P884" s="793">
        <f t="shared" si="83"/>
        <v>0</v>
      </c>
    </row>
    <row r="885" spans="3:16">
      <c r="C885" s="789">
        <f>IF(D876="","-",+C884+1)</f>
        <v>2019</v>
      </c>
      <c r="D885" s="737">
        <f t="shared" si="84"/>
        <v>11779364.09691057</v>
      </c>
      <c r="E885" s="790">
        <f t="shared" si="86"/>
        <v>302681.73268292687</v>
      </c>
      <c r="F885" s="790">
        <f t="shared" si="80"/>
        <v>11476682.364227643</v>
      </c>
      <c r="G885" s="737">
        <f t="shared" si="85"/>
        <v>11628023.230569106</v>
      </c>
      <c r="H885" s="795">
        <f>+J877*G885+E885</f>
        <v>1596806.6260875682</v>
      </c>
      <c r="I885" s="796">
        <f>+J878*G885+E885</f>
        <v>1596806.6260875682</v>
      </c>
      <c r="J885" s="793">
        <f t="shared" si="87"/>
        <v>0</v>
      </c>
      <c r="K885" s="793"/>
      <c r="L885" s="813">
        <v>1472315.398562321</v>
      </c>
      <c r="M885" s="793">
        <f t="shared" si="81"/>
        <v>124491.22752524726</v>
      </c>
      <c r="N885" s="813">
        <v>1472315.398562321</v>
      </c>
      <c r="O885" s="793">
        <f t="shared" si="82"/>
        <v>124491.22752524726</v>
      </c>
      <c r="P885" s="793">
        <f t="shared" si="83"/>
        <v>0</v>
      </c>
    </row>
    <row r="886" spans="3:16">
      <c r="C886" s="789">
        <f>IF(D876="","-",+C885+1)</f>
        <v>2020</v>
      </c>
      <c r="D886" s="737">
        <f t="shared" si="84"/>
        <v>11476682.364227643</v>
      </c>
      <c r="E886" s="790">
        <f t="shared" si="86"/>
        <v>302681.73268292687</v>
      </c>
      <c r="F886" s="790">
        <f t="shared" si="80"/>
        <v>11174000.631544717</v>
      </c>
      <c r="G886" s="737">
        <f t="shared" si="85"/>
        <v>11325341.497886181</v>
      </c>
      <c r="H886" s="795">
        <f>+J877*G886+E886</f>
        <v>1563120.0778861463</v>
      </c>
      <c r="I886" s="796">
        <f>+J878*G886+E886</f>
        <v>1563120.0778861463</v>
      </c>
      <c r="J886" s="793">
        <f t="shared" si="87"/>
        <v>0</v>
      </c>
      <c r="K886" s="793"/>
      <c r="L886" s="813">
        <v>1462759.7351371858</v>
      </c>
      <c r="M886" s="793">
        <f t="shared" si="81"/>
        <v>100360.34274896048</v>
      </c>
      <c r="N886" s="813">
        <v>1462759.7351371858</v>
      </c>
      <c r="O886" s="793">
        <f t="shared" si="82"/>
        <v>100360.34274896048</v>
      </c>
      <c r="P886" s="793">
        <f t="shared" si="83"/>
        <v>0</v>
      </c>
    </row>
    <row r="887" spans="3:16">
      <c r="C887" s="789">
        <f>IF(D876="","-",+C886+1)</f>
        <v>2021</v>
      </c>
      <c r="D887" s="737">
        <f t="shared" si="84"/>
        <v>11174000.631544717</v>
      </c>
      <c r="E887" s="790">
        <f t="shared" si="86"/>
        <v>302681.73268292687</v>
      </c>
      <c r="F887" s="790">
        <f t="shared" si="80"/>
        <v>10871318.89886179</v>
      </c>
      <c r="G887" s="737">
        <f t="shared" si="85"/>
        <v>11022659.765203252</v>
      </c>
      <c r="H887" s="795">
        <f>+J877*G887+E887</f>
        <v>1529433.5296847236</v>
      </c>
      <c r="I887" s="796">
        <f>+J878*G887+E887</f>
        <v>1529433.5296847236</v>
      </c>
      <c r="J887" s="793">
        <f t="shared" si="87"/>
        <v>0</v>
      </c>
      <c r="K887" s="793"/>
      <c r="L887" s="813">
        <v>1473668.4959205973</v>
      </c>
      <c r="M887" s="793">
        <f t="shared" si="81"/>
        <v>55765.033764126245</v>
      </c>
      <c r="N887" s="813">
        <v>1473668.4959205973</v>
      </c>
      <c r="O887" s="793">
        <f t="shared" si="82"/>
        <v>55765.033764126245</v>
      </c>
      <c r="P887" s="793">
        <f t="shared" si="83"/>
        <v>0</v>
      </c>
    </row>
    <row r="888" spans="3:16">
      <c r="C888" s="789">
        <f>IF(D876="","-",+C887+1)</f>
        <v>2022</v>
      </c>
      <c r="D888" s="737">
        <f t="shared" si="84"/>
        <v>10871318.89886179</v>
      </c>
      <c r="E888" s="790">
        <f t="shared" si="86"/>
        <v>302681.73268292687</v>
      </c>
      <c r="F888" s="790">
        <f t="shared" si="80"/>
        <v>10568637.166178863</v>
      </c>
      <c r="G888" s="737">
        <f t="shared" si="85"/>
        <v>10719978.032520328</v>
      </c>
      <c r="H888" s="795">
        <f>+J877*G888+E888</f>
        <v>1495746.9814833016</v>
      </c>
      <c r="I888" s="796">
        <f>+J878*G888+E888</f>
        <v>1495746.9814833016</v>
      </c>
      <c r="J888" s="793">
        <f t="shared" si="87"/>
        <v>0</v>
      </c>
      <c r="K888" s="793"/>
      <c r="L888" s="813">
        <v>1471306.1863906332</v>
      </c>
      <c r="M888" s="793">
        <f t="shared" si="81"/>
        <v>24440.795092668384</v>
      </c>
      <c r="N888" s="813">
        <v>1471306.1863906332</v>
      </c>
      <c r="O888" s="793">
        <f t="shared" si="82"/>
        <v>24440.795092668384</v>
      </c>
      <c r="P888" s="793">
        <f t="shared" si="83"/>
        <v>0</v>
      </c>
    </row>
    <row r="889" spans="3:16">
      <c r="C889" s="789">
        <f>IF(D876="","-",+C888+1)</f>
        <v>2023</v>
      </c>
      <c r="D889" s="737">
        <f t="shared" si="84"/>
        <v>10568637.166178863</v>
      </c>
      <c r="E889" s="790">
        <f t="shared" si="86"/>
        <v>302681.73268292687</v>
      </c>
      <c r="F889" s="790">
        <f t="shared" si="80"/>
        <v>10265955.433495937</v>
      </c>
      <c r="G889" s="737">
        <f t="shared" si="85"/>
        <v>10417296.299837399</v>
      </c>
      <c r="H889" s="795">
        <f>+J877*G889+E889</f>
        <v>1462060.4332818789</v>
      </c>
      <c r="I889" s="796">
        <f>+J878*G889+E889</f>
        <v>1462060.4332818789</v>
      </c>
      <c r="J889" s="793">
        <f t="shared" si="87"/>
        <v>0</v>
      </c>
      <c r="K889" s="793"/>
      <c r="L889" s="813"/>
      <c r="M889" s="793">
        <f t="shared" si="81"/>
        <v>0</v>
      </c>
      <c r="N889" s="813"/>
      <c r="O889" s="793">
        <f t="shared" si="82"/>
        <v>0</v>
      </c>
      <c r="P889" s="793">
        <f t="shared" si="83"/>
        <v>0</v>
      </c>
    </row>
    <row r="890" spans="3:16">
      <c r="C890" s="789">
        <f>IF(D876="","-",+C889+1)</f>
        <v>2024</v>
      </c>
      <c r="D890" s="737">
        <f t="shared" si="84"/>
        <v>10265955.433495937</v>
      </c>
      <c r="E890" s="790">
        <f t="shared" si="86"/>
        <v>302681.73268292687</v>
      </c>
      <c r="F890" s="790">
        <f t="shared" si="80"/>
        <v>9963273.7008130103</v>
      </c>
      <c r="G890" s="737">
        <f t="shared" si="85"/>
        <v>10114614.567154475</v>
      </c>
      <c r="H890" s="795">
        <f>+J877*G890+E890</f>
        <v>1428373.885080457</v>
      </c>
      <c r="I890" s="796">
        <f>+J878*G890+E890</f>
        <v>1428373.885080457</v>
      </c>
      <c r="J890" s="793">
        <f t="shared" si="87"/>
        <v>0</v>
      </c>
      <c r="K890" s="793"/>
      <c r="L890" s="813"/>
      <c r="M890" s="793">
        <f t="shared" si="81"/>
        <v>0</v>
      </c>
      <c r="N890" s="813"/>
      <c r="O890" s="793">
        <f t="shared" si="82"/>
        <v>0</v>
      </c>
      <c r="P890" s="793">
        <f t="shared" si="83"/>
        <v>0</v>
      </c>
    </row>
    <row r="891" spans="3:16">
      <c r="C891" s="789">
        <f>IF(D876="","-",+C890+1)</f>
        <v>2025</v>
      </c>
      <c r="D891" s="737">
        <f t="shared" si="84"/>
        <v>9963273.7008130103</v>
      </c>
      <c r="E891" s="790">
        <f t="shared" si="86"/>
        <v>302681.73268292687</v>
      </c>
      <c r="F891" s="790">
        <f t="shared" si="80"/>
        <v>9660591.9681300838</v>
      </c>
      <c r="G891" s="737">
        <f t="shared" si="85"/>
        <v>9811932.8344715461</v>
      </c>
      <c r="H891" s="795">
        <f>+J877*G891+E891</f>
        <v>1394687.3368790345</v>
      </c>
      <c r="I891" s="796">
        <f>+J878*G891+E891</f>
        <v>1394687.3368790345</v>
      </c>
      <c r="J891" s="793">
        <f t="shared" si="87"/>
        <v>0</v>
      </c>
      <c r="K891" s="793"/>
      <c r="L891" s="813"/>
      <c r="M891" s="793">
        <f t="shared" si="81"/>
        <v>0</v>
      </c>
      <c r="N891" s="813"/>
      <c r="O891" s="793">
        <f t="shared" si="82"/>
        <v>0</v>
      </c>
      <c r="P891" s="793">
        <f t="shared" si="83"/>
        <v>0</v>
      </c>
    </row>
    <row r="892" spans="3:16">
      <c r="C892" s="789">
        <f>IF(D876="","-",+C891+1)</f>
        <v>2026</v>
      </c>
      <c r="D892" s="737">
        <f t="shared" si="84"/>
        <v>9660591.9681300838</v>
      </c>
      <c r="E892" s="790">
        <f t="shared" si="86"/>
        <v>302681.73268292687</v>
      </c>
      <c r="F892" s="790">
        <f t="shared" si="80"/>
        <v>9357910.2354471572</v>
      </c>
      <c r="G892" s="737">
        <f t="shared" si="85"/>
        <v>9509251.1017886214</v>
      </c>
      <c r="H892" s="795">
        <f>+J877*G892+E892</f>
        <v>1361000.7886776123</v>
      </c>
      <c r="I892" s="796">
        <f>+J878*G892+E892</f>
        <v>1361000.7886776123</v>
      </c>
      <c r="J892" s="793">
        <f t="shared" si="87"/>
        <v>0</v>
      </c>
      <c r="K892" s="793"/>
      <c r="L892" s="813"/>
      <c r="M892" s="793">
        <f t="shared" si="81"/>
        <v>0</v>
      </c>
      <c r="N892" s="813"/>
      <c r="O892" s="793">
        <f t="shared" si="82"/>
        <v>0</v>
      </c>
      <c r="P892" s="793">
        <f t="shared" si="83"/>
        <v>0</v>
      </c>
    </row>
    <row r="893" spans="3:16">
      <c r="C893" s="789">
        <f>IF(D876="","-",+C892+1)</f>
        <v>2027</v>
      </c>
      <c r="D893" s="737">
        <f t="shared" si="84"/>
        <v>9357910.2354471572</v>
      </c>
      <c r="E893" s="790">
        <f t="shared" si="86"/>
        <v>302681.73268292687</v>
      </c>
      <c r="F893" s="790">
        <f t="shared" si="80"/>
        <v>9055228.5027642306</v>
      </c>
      <c r="G893" s="737">
        <f t="shared" si="85"/>
        <v>9206569.369105693</v>
      </c>
      <c r="H893" s="795">
        <f>+J877*G893+E893</f>
        <v>1327314.2404761899</v>
      </c>
      <c r="I893" s="796">
        <f>+J878*G893+E893</f>
        <v>1327314.2404761899</v>
      </c>
      <c r="J893" s="793">
        <f t="shared" si="87"/>
        <v>0</v>
      </c>
      <c r="K893" s="793"/>
      <c r="L893" s="813"/>
      <c r="M893" s="793">
        <f t="shared" si="81"/>
        <v>0</v>
      </c>
      <c r="N893" s="813"/>
      <c r="O893" s="793">
        <f t="shared" si="82"/>
        <v>0</v>
      </c>
      <c r="P893" s="793">
        <f t="shared" si="83"/>
        <v>0</v>
      </c>
    </row>
    <row r="894" spans="3:16">
      <c r="C894" s="789">
        <f>IF(D876="","-",+C893+1)</f>
        <v>2028</v>
      </c>
      <c r="D894" s="737">
        <f t="shared" si="84"/>
        <v>9055228.5027642306</v>
      </c>
      <c r="E894" s="790">
        <f t="shared" si="86"/>
        <v>302681.73268292687</v>
      </c>
      <c r="F894" s="790">
        <f t="shared" si="80"/>
        <v>8752546.770081304</v>
      </c>
      <c r="G894" s="737">
        <f t="shared" si="85"/>
        <v>8903887.6364227682</v>
      </c>
      <c r="H894" s="795">
        <f>+J877*G894+E894</f>
        <v>1293627.6922747677</v>
      </c>
      <c r="I894" s="796">
        <f>+J878*G894+E894</f>
        <v>1293627.6922747677</v>
      </c>
      <c r="J894" s="793">
        <f t="shared" si="87"/>
        <v>0</v>
      </c>
      <c r="K894" s="793"/>
      <c r="L894" s="813"/>
      <c r="M894" s="793">
        <f t="shared" si="81"/>
        <v>0</v>
      </c>
      <c r="N894" s="813"/>
      <c r="O894" s="793">
        <f t="shared" si="82"/>
        <v>0</v>
      </c>
      <c r="P894" s="793">
        <f t="shared" si="83"/>
        <v>0</v>
      </c>
    </row>
    <row r="895" spans="3:16">
      <c r="C895" s="789">
        <f>IF(D876="","-",+C894+1)</f>
        <v>2029</v>
      </c>
      <c r="D895" s="737">
        <f t="shared" si="84"/>
        <v>8752546.770081304</v>
      </c>
      <c r="E895" s="790">
        <f t="shared" si="86"/>
        <v>302681.73268292687</v>
      </c>
      <c r="F895" s="790">
        <f t="shared" si="80"/>
        <v>8449865.0373983774</v>
      </c>
      <c r="G895" s="737">
        <f t="shared" si="85"/>
        <v>8601205.9037398398</v>
      </c>
      <c r="H895" s="795">
        <f>+J877*G895+E895</f>
        <v>1259941.1440733452</v>
      </c>
      <c r="I895" s="796">
        <f>+J878*G895+E895</f>
        <v>1259941.1440733452</v>
      </c>
      <c r="J895" s="793">
        <f t="shared" si="87"/>
        <v>0</v>
      </c>
      <c r="K895" s="793"/>
      <c r="L895" s="813"/>
      <c r="M895" s="793">
        <f t="shared" si="81"/>
        <v>0</v>
      </c>
      <c r="N895" s="813"/>
      <c r="O895" s="793">
        <f t="shared" si="82"/>
        <v>0</v>
      </c>
      <c r="P895" s="793">
        <f t="shared" si="83"/>
        <v>0</v>
      </c>
    </row>
    <row r="896" spans="3:16">
      <c r="C896" s="789">
        <f>IF(D876="","-",+C895+1)</f>
        <v>2030</v>
      </c>
      <c r="D896" s="737">
        <f t="shared" si="84"/>
        <v>8449865.0373983774</v>
      </c>
      <c r="E896" s="790">
        <f t="shared" si="86"/>
        <v>302681.73268292687</v>
      </c>
      <c r="F896" s="790">
        <f t="shared" si="80"/>
        <v>8147183.3047154509</v>
      </c>
      <c r="G896" s="737">
        <f t="shared" si="85"/>
        <v>8298524.1710569141</v>
      </c>
      <c r="H896" s="795">
        <f>+J877*G896+E896</f>
        <v>1226254.595871923</v>
      </c>
      <c r="I896" s="796">
        <f>+J878*G896+E896</f>
        <v>1226254.595871923</v>
      </c>
      <c r="J896" s="793">
        <f t="shared" si="87"/>
        <v>0</v>
      </c>
      <c r="K896" s="793"/>
      <c r="L896" s="813"/>
      <c r="M896" s="793">
        <f t="shared" si="81"/>
        <v>0</v>
      </c>
      <c r="N896" s="813"/>
      <c r="O896" s="793">
        <f t="shared" si="82"/>
        <v>0</v>
      </c>
      <c r="P896" s="793">
        <f t="shared" si="83"/>
        <v>0</v>
      </c>
    </row>
    <row r="897" spans="3:16">
      <c r="C897" s="789">
        <f>IF(D876="","-",+C896+1)</f>
        <v>2031</v>
      </c>
      <c r="D897" s="737">
        <f t="shared" si="84"/>
        <v>8147183.3047154509</v>
      </c>
      <c r="E897" s="790">
        <f t="shared" si="86"/>
        <v>302681.73268292687</v>
      </c>
      <c r="F897" s="790">
        <f t="shared" si="80"/>
        <v>7844501.5720325243</v>
      </c>
      <c r="G897" s="737">
        <f t="shared" si="85"/>
        <v>7995842.4383739876</v>
      </c>
      <c r="H897" s="795">
        <f>+J877*G897+E897</f>
        <v>1192568.0476705008</v>
      </c>
      <c r="I897" s="796">
        <f>+J878*G897+E897</f>
        <v>1192568.0476705008</v>
      </c>
      <c r="J897" s="793">
        <f t="shared" si="87"/>
        <v>0</v>
      </c>
      <c r="K897" s="793"/>
      <c r="L897" s="813"/>
      <c r="M897" s="793">
        <f t="shared" si="81"/>
        <v>0</v>
      </c>
      <c r="N897" s="813"/>
      <c r="O897" s="793">
        <f t="shared" si="82"/>
        <v>0</v>
      </c>
      <c r="P897" s="793">
        <f t="shared" si="83"/>
        <v>0</v>
      </c>
    </row>
    <row r="898" spans="3:16">
      <c r="C898" s="789">
        <f>IF(D876="","-",+C897+1)</f>
        <v>2032</v>
      </c>
      <c r="D898" s="737">
        <f t="shared" si="84"/>
        <v>7844501.5720325243</v>
      </c>
      <c r="E898" s="790">
        <f t="shared" si="86"/>
        <v>302681.73268292687</v>
      </c>
      <c r="F898" s="790">
        <f t="shared" si="80"/>
        <v>7541819.8393495977</v>
      </c>
      <c r="G898" s="737">
        <f t="shared" si="85"/>
        <v>7693160.705691061</v>
      </c>
      <c r="H898" s="795">
        <f>+J877*G898+E898</f>
        <v>1158881.4994690784</v>
      </c>
      <c r="I898" s="796">
        <f>+J878*G898+E898</f>
        <v>1158881.4994690784</v>
      </c>
      <c r="J898" s="793">
        <f t="shared" si="87"/>
        <v>0</v>
      </c>
      <c r="K898" s="793"/>
      <c r="L898" s="813"/>
      <c r="M898" s="793">
        <f t="shared" si="81"/>
        <v>0</v>
      </c>
      <c r="N898" s="813"/>
      <c r="O898" s="793">
        <f t="shared" si="82"/>
        <v>0</v>
      </c>
      <c r="P898" s="793">
        <f t="shared" si="83"/>
        <v>0</v>
      </c>
    </row>
    <row r="899" spans="3:16">
      <c r="C899" s="789">
        <f>IF(D876="","-",+C898+1)</f>
        <v>2033</v>
      </c>
      <c r="D899" s="737">
        <f t="shared" si="84"/>
        <v>7541819.8393495977</v>
      </c>
      <c r="E899" s="790">
        <f t="shared" si="86"/>
        <v>302681.73268292687</v>
      </c>
      <c r="F899" s="790">
        <f t="shared" si="80"/>
        <v>7239138.1066666711</v>
      </c>
      <c r="G899" s="737">
        <f t="shared" si="85"/>
        <v>7390478.9730081344</v>
      </c>
      <c r="H899" s="795">
        <f>+J877*G899+E899</f>
        <v>1125194.9512676562</v>
      </c>
      <c r="I899" s="796">
        <f>+J878*G899+E899</f>
        <v>1125194.9512676562</v>
      </c>
      <c r="J899" s="793">
        <f t="shared" si="87"/>
        <v>0</v>
      </c>
      <c r="K899" s="793"/>
      <c r="L899" s="813"/>
      <c r="M899" s="793">
        <f t="shared" si="81"/>
        <v>0</v>
      </c>
      <c r="N899" s="813"/>
      <c r="O899" s="793">
        <f t="shared" si="82"/>
        <v>0</v>
      </c>
      <c r="P899" s="793">
        <f t="shared" si="83"/>
        <v>0</v>
      </c>
    </row>
    <row r="900" spans="3:16">
      <c r="C900" s="789">
        <f>IF(D876="","-",+C899+1)</f>
        <v>2034</v>
      </c>
      <c r="D900" s="737">
        <f t="shared" si="84"/>
        <v>7239138.1066666711</v>
      </c>
      <c r="E900" s="790">
        <f t="shared" si="86"/>
        <v>302681.73268292687</v>
      </c>
      <c r="F900" s="790">
        <f t="shared" si="80"/>
        <v>6936456.3739837445</v>
      </c>
      <c r="G900" s="737">
        <f t="shared" si="85"/>
        <v>7087797.2403252078</v>
      </c>
      <c r="H900" s="795">
        <f>+J877*G900+E900</f>
        <v>1091508.4030662337</v>
      </c>
      <c r="I900" s="796">
        <f>+J878*G900+E900</f>
        <v>1091508.4030662337</v>
      </c>
      <c r="J900" s="793">
        <f t="shared" si="87"/>
        <v>0</v>
      </c>
      <c r="K900" s="793"/>
      <c r="L900" s="813"/>
      <c r="M900" s="793">
        <f t="shared" si="81"/>
        <v>0</v>
      </c>
      <c r="N900" s="813"/>
      <c r="O900" s="793">
        <f t="shared" si="82"/>
        <v>0</v>
      </c>
      <c r="P900" s="793">
        <f t="shared" si="83"/>
        <v>0</v>
      </c>
    </row>
    <row r="901" spans="3:16">
      <c r="C901" s="789">
        <f>IF(D876="","-",+C900+1)</f>
        <v>2035</v>
      </c>
      <c r="D901" s="737">
        <f t="shared" si="84"/>
        <v>6936456.3739837445</v>
      </c>
      <c r="E901" s="790">
        <f t="shared" si="86"/>
        <v>302681.73268292687</v>
      </c>
      <c r="F901" s="790">
        <f t="shared" si="80"/>
        <v>6633774.641300818</v>
      </c>
      <c r="G901" s="737">
        <f t="shared" si="85"/>
        <v>6785115.5076422812</v>
      </c>
      <c r="H901" s="795">
        <f>+J877*G901+E901</f>
        <v>1057821.8548648115</v>
      </c>
      <c r="I901" s="796">
        <f>+J878*G901+E901</f>
        <v>1057821.8548648115</v>
      </c>
      <c r="J901" s="793">
        <f t="shared" si="87"/>
        <v>0</v>
      </c>
      <c r="K901" s="793"/>
      <c r="L901" s="813"/>
      <c r="M901" s="793">
        <f t="shared" si="81"/>
        <v>0</v>
      </c>
      <c r="N901" s="813"/>
      <c r="O901" s="793">
        <f t="shared" si="82"/>
        <v>0</v>
      </c>
      <c r="P901" s="793">
        <f t="shared" si="83"/>
        <v>0</v>
      </c>
    </row>
    <row r="902" spans="3:16">
      <c r="C902" s="789">
        <f>IF(D876="","-",+C901+1)</f>
        <v>2036</v>
      </c>
      <c r="D902" s="737">
        <f t="shared" si="84"/>
        <v>6633774.641300818</v>
      </c>
      <c r="E902" s="790">
        <f t="shared" si="86"/>
        <v>302681.73268292687</v>
      </c>
      <c r="F902" s="790">
        <f t="shared" si="80"/>
        <v>6331092.9086178914</v>
      </c>
      <c r="G902" s="737">
        <f t="shared" si="85"/>
        <v>6482433.7749593547</v>
      </c>
      <c r="H902" s="795">
        <f>+J877*G902+E902</f>
        <v>1024135.3066633891</v>
      </c>
      <c r="I902" s="796">
        <f>+J878*G902+E902</f>
        <v>1024135.3066633891</v>
      </c>
      <c r="J902" s="793">
        <f t="shared" si="87"/>
        <v>0</v>
      </c>
      <c r="K902" s="793"/>
      <c r="L902" s="813"/>
      <c r="M902" s="793">
        <f t="shared" si="81"/>
        <v>0</v>
      </c>
      <c r="N902" s="813"/>
      <c r="O902" s="793">
        <f t="shared" si="82"/>
        <v>0</v>
      </c>
      <c r="P902" s="793">
        <f t="shared" si="83"/>
        <v>0</v>
      </c>
    </row>
    <row r="903" spans="3:16">
      <c r="C903" s="789">
        <f>IF(D876="","-",+C902+1)</f>
        <v>2037</v>
      </c>
      <c r="D903" s="737">
        <f t="shared" si="84"/>
        <v>6331092.9086178914</v>
      </c>
      <c r="E903" s="790">
        <f t="shared" si="86"/>
        <v>302681.73268292687</v>
      </c>
      <c r="F903" s="790">
        <f t="shared" si="80"/>
        <v>6028411.1759349648</v>
      </c>
      <c r="G903" s="737">
        <f t="shared" si="85"/>
        <v>6179752.0422764281</v>
      </c>
      <c r="H903" s="795">
        <f>+J877*G903+E903</f>
        <v>990448.75846196688</v>
      </c>
      <c r="I903" s="796">
        <f>+J878*G903+E903</f>
        <v>990448.75846196688</v>
      </c>
      <c r="J903" s="793">
        <f t="shared" si="87"/>
        <v>0</v>
      </c>
      <c r="K903" s="793"/>
      <c r="L903" s="813"/>
      <c r="M903" s="793">
        <f t="shared" si="81"/>
        <v>0</v>
      </c>
      <c r="N903" s="813"/>
      <c r="O903" s="793">
        <f t="shared" si="82"/>
        <v>0</v>
      </c>
      <c r="P903" s="793">
        <f t="shared" si="83"/>
        <v>0</v>
      </c>
    </row>
    <row r="904" spans="3:16">
      <c r="C904" s="789">
        <f>IF(D876="","-",+C903+1)</f>
        <v>2038</v>
      </c>
      <c r="D904" s="737">
        <f t="shared" si="84"/>
        <v>6028411.1759349648</v>
      </c>
      <c r="E904" s="790">
        <f t="shared" si="86"/>
        <v>302681.73268292687</v>
      </c>
      <c r="F904" s="790">
        <f t="shared" si="80"/>
        <v>5725729.4432520382</v>
      </c>
      <c r="G904" s="737">
        <f t="shared" si="85"/>
        <v>5877070.3095935015</v>
      </c>
      <c r="H904" s="795">
        <f>+J877*G904+E904</f>
        <v>956762.21026054444</v>
      </c>
      <c r="I904" s="796">
        <f>+J878*G904+E904</f>
        <v>956762.21026054444</v>
      </c>
      <c r="J904" s="793">
        <f t="shared" si="87"/>
        <v>0</v>
      </c>
      <c r="K904" s="793"/>
      <c r="L904" s="813"/>
      <c r="M904" s="793">
        <f t="shared" si="81"/>
        <v>0</v>
      </c>
      <c r="N904" s="813"/>
      <c r="O904" s="793">
        <f t="shared" si="82"/>
        <v>0</v>
      </c>
      <c r="P904" s="793">
        <f t="shared" si="83"/>
        <v>0</v>
      </c>
    </row>
    <row r="905" spans="3:16">
      <c r="C905" s="789">
        <f>IF(D876="","-",+C904+1)</f>
        <v>2039</v>
      </c>
      <c r="D905" s="737">
        <f t="shared" si="84"/>
        <v>5725729.4432520382</v>
      </c>
      <c r="E905" s="790">
        <f t="shared" si="86"/>
        <v>302681.73268292687</v>
      </c>
      <c r="F905" s="790">
        <f t="shared" si="80"/>
        <v>5423047.7105691116</v>
      </c>
      <c r="G905" s="737">
        <f t="shared" si="85"/>
        <v>5574388.5769105749</v>
      </c>
      <c r="H905" s="795">
        <f>+J877*G905+E905</f>
        <v>923075.66205912223</v>
      </c>
      <c r="I905" s="796">
        <f>+J878*G905+E905</f>
        <v>923075.66205912223</v>
      </c>
      <c r="J905" s="793">
        <f t="shared" si="87"/>
        <v>0</v>
      </c>
      <c r="K905" s="793"/>
      <c r="L905" s="813"/>
      <c r="M905" s="793">
        <f t="shared" si="81"/>
        <v>0</v>
      </c>
      <c r="N905" s="813"/>
      <c r="O905" s="793">
        <f t="shared" si="82"/>
        <v>0</v>
      </c>
      <c r="P905" s="793">
        <f t="shared" si="83"/>
        <v>0</v>
      </c>
    </row>
    <row r="906" spans="3:16">
      <c r="C906" s="789">
        <f>IF(D876="","-",+C905+1)</f>
        <v>2040</v>
      </c>
      <c r="D906" s="737">
        <f t="shared" si="84"/>
        <v>5423047.7105691116</v>
      </c>
      <c r="E906" s="790">
        <f t="shared" si="86"/>
        <v>302681.73268292687</v>
      </c>
      <c r="F906" s="790">
        <f t="shared" si="80"/>
        <v>5120365.9778861851</v>
      </c>
      <c r="G906" s="737">
        <f t="shared" si="85"/>
        <v>5271706.8442276483</v>
      </c>
      <c r="H906" s="795">
        <f>+J877*G906+E906</f>
        <v>889389.11385770002</v>
      </c>
      <c r="I906" s="796">
        <f>+J878*G906+E906</f>
        <v>889389.11385770002</v>
      </c>
      <c r="J906" s="793">
        <f t="shared" si="87"/>
        <v>0</v>
      </c>
      <c r="K906" s="793"/>
      <c r="L906" s="813"/>
      <c r="M906" s="793">
        <f t="shared" si="81"/>
        <v>0</v>
      </c>
      <c r="N906" s="813"/>
      <c r="O906" s="793">
        <f t="shared" si="82"/>
        <v>0</v>
      </c>
      <c r="P906" s="793">
        <f t="shared" si="83"/>
        <v>0</v>
      </c>
    </row>
    <row r="907" spans="3:16">
      <c r="C907" s="789">
        <f>IF(D876="","-",+C906+1)</f>
        <v>2041</v>
      </c>
      <c r="D907" s="737">
        <f t="shared" si="84"/>
        <v>5120365.9778861851</v>
      </c>
      <c r="E907" s="790">
        <f t="shared" si="86"/>
        <v>302681.73268292687</v>
      </c>
      <c r="F907" s="790">
        <f t="shared" si="80"/>
        <v>4817684.2452032585</v>
      </c>
      <c r="G907" s="737">
        <f t="shared" si="85"/>
        <v>4969025.1115447218</v>
      </c>
      <c r="H907" s="795">
        <f>+J877*G907+E907</f>
        <v>855702.56565627758</v>
      </c>
      <c r="I907" s="796">
        <f>+J878*G907+E907</f>
        <v>855702.56565627758</v>
      </c>
      <c r="J907" s="793">
        <f t="shared" si="87"/>
        <v>0</v>
      </c>
      <c r="K907" s="793"/>
      <c r="L907" s="813"/>
      <c r="M907" s="793">
        <f t="shared" si="81"/>
        <v>0</v>
      </c>
      <c r="N907" s="813"/>
      <c r="O907" s="793">
        <f t="shared" si="82"/>
        <v>0</v>
      </c>
      <c r="P907" s="793">
        <f t="shared" si="83"/>
        <v>0</v>
      </c>
    </row>
    <row r="908" spans="3:16">
      <c r="C908" s="789">
        <f>IF(D876="","-",+C907+1)</f>
        <v>2042</v>
      </c>
      <c r="D908" s="737">
        <f t="shared" si="84"/>
        <v>4817684.2452032585</v>
      </c>
      <c r="E908" s="790">
        <f t="shared" si="86"/>
        <v>302681.73268292687</v>
      </c>
      <c r="F908" s="790">
        <f t="shared" si="80"/>
        <v>4515002.5125203319</v>
      </c>
      <c r="G908" s="737">
        <f t="shared" si="85"/>
        <v>4666343.3788617952</v>
      </c>
      <c r="H908" s="795">
        <f>+J877*G908+E908</f>
        <v>822016.01745485538</v>
      </c>
      <c r="I908" s="796">
        <f>+J878*G908+E908</f>
        <v>822016.01745485538</v>
      </c>
      <c r="J908" s="793">
        <f t="shared" si="87"/>
        <v>0</v>
      </c>
      <c r="K908" s="793"/>
      <c r="L908" s="813"/>
      <c r="M908" s="793">
        <f t="shared" si="81"/>
        <v>0</v>
      </c>
      <c r="N908" s="813"/>
      <c r="O908" s="793">
        <f t="shared" si="82"/>
        <v>0</v>
      </c>
      <c r="P908" s="793">
        <f t="shared" si="83"/>
        <v>0</v>
      </c>
    </row>
    <row r="909" spans="3:16">
      <c r="C909" s="789">
        <f>IF(D876="","-",+C908+1)</f>
        <v>2043</v>
      </c>
      <c r="D909" s="737">
        <f t="shared" si="84"/>
        <v>4515002.5125203319</v>
      </c>
      <c r="E909" s="790">
        <f t="shared" si="86"/>
        <v>302681.73268292687</v>
      </c>
      <c r="F909" s="790">
        <f t="shared" si="80"/>
        <v>4212320.7798374053</v>
      </c>
      <c r="G909" s="737">
        <f t="shared" si="85"/>
        <v>4363661.6461788686</v>
      </c>
      <c r="H909" s="795">
        <f>+J877*G909+E909</f>
        <v>788329.46925343294</v>
      </c>
      <c r="I909" s="796">
        <f>+J878*G909+E909</f>
        <v>788329.46925343294</v>
      </c>
      <c r="J909" s="793">
        <f t="shared" si="87"/>
        <v>0</v>
      </c>
      <c r="K909" s="793"/>
      <c r="L909" s="813"/>
      <c r="M909" s="793">
        <f t="shared" si="81"/>
        <v>0</v>
      </c>
      <c r="N909" s="813"/>
      <c r="O909" s="793">
        <f t="shared" si="82"/>
        <v>0</v>
      </c>
      <c r="P909" s="793">
        <f t="shared" si="83"/>
        <v>0</v>
      </c>
    </row>
    <row r="910" spans="3:16">
      <c r="C910" s="789">
        <f>IF(D876="","-",+C909+1)</f>
        <v>2044</v>
      </c>
      <c r="D910" s="737">
        <f t="shared" si="84"/>
        <v>4212320.7798374053</v>
      </c>
      <c r="E910" s="790">
        <f t="shared" si="86"/>
        <v>302681.73268292687</v>
      </c>
      <c r="F910" s="790">
        <f t="shared" si="80"/>
        <v>3909639.0471544783</v>
      </c>
      <c r="G910" s="737">
        <f t="shared" si="85"/>
        <v>4060979.913495942</v>
      </c>
      <c r="H910" s="795">
        <f>+J877*G910+E910</f>
        <v>754642.92105201073</v>
      </c>
      <c r="I910" s="796">
        <f>+J878*G910+E910</f>
        <v>754642.92105201073</v>
      </c>
      <c r="J910" s="793">
        <f t="shared" si="87"/>
        <v>0</v>
      </c>
      <c r="K910" s="793"/>
      <c r="L910" s="813"/>
      <c r="M910" s="793">
        <f t="shared" si="81"/>
        <v>0</v>
      </c>
      <c r="N910" s="813"/>
      <c r="O910" s="793">
        <f t="shared" si="82"/>
        <v>0</v>
      </c>
      <c r="P910" s="793">
        <f t="shared" si="83"/>
        <v>0</v>
      </c>
    </row>
    <row r="911" spans="3:16">
      <c r="C911" s="789">
        <f>IF(D876="","-",+C910+1)</f>
        <v>2045</v>
      </c>
      <c r="D911" s="737">
        <f t="shared" si="84"/>
        <v>3909639.0471544783</v>
      </c>
      <c r="E911" s="790">
        <f t="shared" si="86"/>
        <v>302681.73268292687</v>
      </c>
      <c r="F911" s="790">
        <f t="shared" si="80"/>
        <v>3606957.3144715512</v>
      </c>
      <c r="G911" s="737">
        <f t="shared" si="85"/>
        <v>3758298.1808130145</v>
      </c>
      <c r="H911" s="795">
        <f>+J877*G911+E911</f>
        <v>720956.37285058829</v>
      </c>
      <c r="I911" s="796">
        <f>+J878*G911+E911</f>
        <v>720956.37285058829</v>
      </c>
      <c r="J911" s="793">
        <f t="shared" si="87"/>
        <v>0</v>
      </c>
      <c r="K911" s="793"/>
      <c r="L911" s="813"/>
      <c r="M911" s="793">
        <f t="shared" si="81"/>
        <v>0</v>
      </c>
      <c r="N911" s="813"/>
      <c r="O911" s="793">
        <f t="shared" si="82"/>
        <v>0</v>
      </c>
      <c r="P911" s="793">
        <f t="shared" si="83"/>
        <v>0</v>
      </c>
    </row>
    <row r="912" spans="3:16">
      <c r="C912" s="789">
        <f>IF(D876="","-",+C911+1)</f>
        <v>2046</v>
      </c>
      <c r="D912" s="737">
        <f t="shared" si="84"/>
        <v>3606957.3144715512</v>
      </c>
      <c r="E912" s="790">
        <f t="shared" si="86"/>
        <v>302681.73268292687</v>
      </c>
      <c r="F912" s="790">
        <f t="shared" si="80"/>
        <v>3304275.5817886242</v>
      </c>
      <c r="G912" s="737">
        <f t="shared" si="85"/>
        <v>3455616.4481300879</v>
      </c>
      <c r="H912" s="795">
        <f>+J877*G912+E912</f>
        <v>687269.82464916597</v>
      </c>
      <c r="I912" s="796">
        <f>+J878*G912+E912</f>
        <v>687269.82464916597</v>
      </c>
      <c r="J912" s="793">
        <f t="shared" si="87"/>
        <v>0</v>
      </c>
      <c r="K912" s="793"/>
      <c r="L912" s="813"/>
      <c r="M912" s="793">
        <f t="shared" si="81"/>
        <v>0</v>
      </c>
      <c r="N912" s="813"/>
      <c r="O912" s="793">
        <f t="shared" si="82"/>
        <v>0</v>
      </c>
      <c r="P912" s="793">
        <f t="shared" si="83"/>
        <v>0</v>
      </c>
    </row>
    <row r="913" spans="3:16">
      <c r="C913" s="789">
        <f>IF(D876="","-",+C912+1)</f>
        <v>2047</v>
      </c>
      <c r="D913" s="737">
        <f t="shared" si="84"/>
        <v>3304275.5817886242</v>
      </c>
      <c r="E913" s="790">
        <f t="shared" si="86"/>
        <v>302681.73268292687</v>
      </c>
      <c r="F913" s="790">
        <f t="shared" si="80"/>
        <v>3001593.8491056971</v>
      </c>
      <c r="G913" s="737">
        <f t="shared" si="85"/>
        <v>3152934.7154471604</v>
      </c>
      <c r="H913" s="795">
        <f>+J877*G913+E913</f>
        <v>653583.27644774353</v>
      </c>
      <c r="I913" s="796">
        <f>+J878*G913+E913</f>
        <v>653583.27644774353</v>
      </c>
      <c r="J913" s="793">
        <f t="shared" si="87"/>
        <v>0</v>
      </c>
      <c r="K913" s="793"/>
      <c r="L913" s="813"/>
      <c r="M913" s="793">
        <f t="shared" si="81"/>
        <v>0</v>
      </c>
      <c r="N913" s="813"/>
      <c r="O913" s="793">
        <f t="shared" si="82"/>
        <v>0</v>
      </c>
      <c r="P913" s="793">
        <f t="shared" si="83"/>
        <v>0</v>
      </c>
    </row>
    <row r="914" spans="3:16">
      <c r="C914" s="789">
        <f>IF(D876="","-",+C913+1)</f>
        <v>2048</v>
      </c>
      <c r="D914" s="737">
        <f t="shared" si="84"/>
        <v>3001593.8491056971</v>
      </c>
      <c r="E914" s="790">
        <f t="shared" si="86"/>
        <v>302681.73268292687</v>
      </c>
      <c r="F914" s="790">
        <f t="shared" si="80"/>
        <v>2698912.1164227701</v>
      </c>
      <c r="G914" s="737">
        <f t="shared" si="85"/>
        <v>2850252.9827642338</v>
      </c>
      <c r="H914" s="795">
        <f>+J877*G914+E914</f>
        <v>619896.7282463212</v>
      </c>
      <c r="I914" s="796">
        <f>+J878*G914+E914</f>
        <v>619896.7282463212</v>
      </c>
      <c r="J914" s="793">
        <f t="shared" si="87"/>
        <v>0</v>
      </c>
      <c r="K914" s="793"/>
      <c r="L914" s="813"/>
      <c r="M914" s="793">
        <f t="shared" si="81"/>
        <v>0</v>
      </c>
      <c r="N914" s="813"/>
      <c r="O914" s="793">
        <f t="shared" si="82"/>
        <v>0</v>
      </c>
      <c r="P914" s="793">
        <f t="shared" si="83"/>
        <v>0</v>
      </c>
    </row>
    <row r="915" spans="3:16">
      <c r="C915" s="789">
        <f>IF(D876="","-",+C914+1)</f>
        <v>2049</v>
      </c>
      <c r="D915" s="737">
        <f t="shared" si="84"/>
        <v>2698912.1164227701</v>
      </c>
      <c r="E915" s="790">
        <f t="shared" si="86"/>
        <v>302681.73268292687</v>
      </c>
      <c r="F915" s="790">
        <f t="shared" si="80"/>
        <v>2396230.383739843</v>
      </c>
      <c r="G915" s="737">
        <f t="shared" si="85"/>
        <v>2547571.2500813063</v>
      </c>
      <c r="H915" s="795">
        <f>+J877*G915+E915</f>
        <v>586210.18004489876</v>
      </c>
      <c r="I915" s="796">
        <f>+J878*G915+E915</f>
        <v>586210.18004489876</v>
      </c>
      <c r="J915" s="793">
        <f t="shared" si="87"/>
        <v>0</v>
      </c>
      <c r="K915" s="793"/>
      <c r="L915" s="813"/>
      <c r="M915" s="793">
        <f t="shared" si="81"/>
        <v>0</v>
      </c>
      <c r="N915" s="813"/>
      <c r="O915" s="793">
        <f t="shared" si="82"/>
        <v>0</v>
      </c>
      <c r="P915" s="793">
        <f t="shared" si="83"/>
        <v>0</v>
      </c>
    </row>
    <row r="916" spans="3:16">
      <c r="C916" s="789">
        <f>IF(D876="","-",+C915+1)</f>
        <v>2050</v>
      </c>
      <c r="D916" s="737">
        <f t="shared" si="84"/>
        <v>2396230.383739843</v>
      </c>
      <c r="E916" s="790">
        <f t="shared" si="86"/>
        <v>302681.73268292687</v>
      </c>
      <c r="F916" s="790">
        <f t="shared" si="80"/>
        <v>2093548.6510569162</v>
      </c>
      <c r="G916" s="737">
        <f t="shared" si="85"/>
        <v>2244889.5173983797</v>
      </c>
      <c r="H916" s="795">
        <f>+J877*G916+E916</f>
        <v>552523.63184347656</v>
      </c>
      <c r="I916" s="796">
        <f>+J878*G916+E916</f>
        <v>552523.63184347656</v>
      </c>
      <c r="J916" s="793">
        <f t="shared" si="87"/>
        <v>0</v>
      </c>
      <c r="K916" s="793"/>
      <c r="L916" s="813"/>
      <c r="M916" s="793">
        <f t="shared" si="81"/>
        <v>0</v>
      </c>
      <c r="N916" s="813"/>
      <c r="O916" s="793">
        <f t="shared" si="82"/>
        <v>0</v>
      </c>
      <c r="P916" s="793">
        <f t="shared" si="83"/>
        <v>0</v>
      </c>
    </row>
    <row r="917" spans="3:16">
      <c r="C917" s="789">
        <f>IF(D876="","-",+C916+1)</f>
        <v>2051</v>
      </c>
      <c r="D917" s="737">
        <f t="shared" si="84"/>
        <v>2093548.6510569162</v>
      </c>
      <c r="E917" s="790">
        <f t="shared" si="86"/>
        <v>302681.73268292687</v>
      </c>
      <c r="F917" s="790">
        <f t="shared" si="80"/>
        <v>1790866.9183739894</v>
      </c>
      <c r="G917" s="737">
        <f t="shared" si="85"/>
        <v>1942207.7847154527</v>
      </c>
      <c r="H917" s="795">
        <f>+J877*G917+E917</f>
        <v>518837.08364205412</v>
      </c>
      <c r="I917" s="796">
        <f>+J878*G917+E917</f>
        <v>518837.08364205412</v>
      </c>
      <c r="J917" s="793">
        <f t="shared" si="87"/>
        <v>0</v>
      </c>
      <c r="K917" s="793"/>
      <c r="L917" s="813"/>
      <c r="M917" s="793">
        <f t="shared" si="81"/>
        <v>0</v>
      </c>
      <c r="N917" s="813"/>
      <c r="O917" s="793">
        <f t="shared" si="82"/>
        <v>0</v>
      </c>
      <c r="P917" s="793">
        <f t="shared" si="83"/>
        <v>0</v>
      </c>
    </row>
    <row r="918" spans="3:16">
      <c r="C918" s="789">
        <f>IF(D876="","-",+C917+1)</f>
        <v>2052</v>
      </c>
      <c r="D918" s="737">
        <f t="shared" si="84"/>
        <v>1790866.9183739894</v>
      </c>
      <c r="E918" s="790">
        <f t="shared" si="86"/>
        <v>302681.73268292687</v>
      </c>
      <c r="F918" s="790">
        <f t="shared" si="80"/>
        <v>1488185.1856910626</v>
      </c>
      <c r="G918" s="737">
        <f t="shared" si="85"/>
        <v>1639526.0520325261</v>
      </c>
      <c r="H918" s="795">
        <f>+J877*G918+E918</f>
        <v>485150.53544063185</v>
      </c>
      <c r="I918" s="796">
        <f>+J878*G918+E918</f>
        <v>485150.53544063185</v>
      </c>
      <c r="J918" s="793">
        <f t="shared" si="87"/>
        <v>0</v>
      </c>
      <c r="K918" s="793"/>
      <c r="L918" s="813"/>
      <c r="M918" s="793">
        <f t="shared" si="81"/>
        <v>0</v>
      </c>
      <c r="N918" s="813"/>
      <c r="O918" s="793">
        <f t="shared" si="82"/>
        <v>0</v>
      </c>
      <c r="P918" s="793">
        <f t="shared" si="83"/>
        <v>0</v>
      </c>
    </row>
    <row r="919" spans="3:16">
      <c r="C919" s="789">
        <f>IF(D876="","-",+C918+1)</f>
        <v>2053</v>
      </c>
      <c r="D919" s="737">
        <f t="shared" si="84"/>
        <v>1488185.1856910626</v>
      </c>
      <c r="E919" s="790">
        <f t="shared" si="86"/>
        <v>302681.73268292687</v>
      </c>
      <c r="F919" s="790">
        <f t="shared" si="80"/>
        <v>1185503.4530081358</v>
      </c>
      <c r="G919" s="737">
        <f t="shared" si="85"/>
        <v>1336844.3193495991</v>
      </c>
      <c r="H919" s="795">
        <f>+J877*G919+E919</f>
        <v>451463.98723920947</v>
      </c>
      <c r="I919" s="796">
        <f>+J878*G919+E919</f>
        <v>451463.98723920947</v>
      </c>
      <c r="J919" s="793">
        <f t="shared" si="87"/>
        <v>0</v>
      </c>
      <c r="K919" s="793"/>
      <c r="L919" s="813"/>
      <c r="M919" s="793">
        <f t="shared" si="81"/>
        <v>0</v>
      </c>
      <c r="N919" s="813"/>
      <c r="O919" s="793">
        <f t="shared" si="82"/>
        <v>0</v>
      </c>
      <c r="P919" s="793">
        <f t="shared" si="83"/>
        <v>0</v>
      </c>
    </row>
    <row r="920" spans="3:16">
      <c r="C920" s="789">
        <f>IF(D876="","-",+C919+1)</f>
        <v>2054</v>
      </c>
      <c r="D920" s="737">
        <f t="shared" si="84"/>
        <v>1185503.4530081358</v>
      </c>
      <c r="E920" s="790">
        <f t="shared" si="86"/>
        <v>302681.73268292687</v>
      </c>
      <c r="F920" s="790">
        <f t="shared" si="80"/>
        <v>882821.72032520897</v>
      </c>
      <c r="G920" s="737">
        <f t="shared" si="85"/>
        <v>1034162.5866666724</v>
      </c>
      <c r="H920" s="795">
        <f>+J877*G920+E920</f>
        <v>417777.43903778715</v>
      </c>
      <c r="I920" s="796">
        <f>+J878*G920+E920</f>
        <v>417777.43903778715</v>
      </c>
      <c r="J920" s="793">
        <f t="shared" si="87"/>
        <v>0</v>
      </c>
      <c r="K920" s="793"/>
      <c r="L920" s="813"/>
      <c r="M920" s="793">
        <f t="shared" si="81"/>
        <v>0</v>
      </c>
      <c r="N920" s="813"/>
      <c r="O920" s="793">
        <f t="shared" si="82"/>
        <v>0</v>
      </c>
      <c r="P920" s="793">
        <f t="shared" si="83"/>
        <v>0</v>
      </c>
    </row>
    <row r="921" spans="3:16">
      <c r="C921" s="789">
        <f>IF(D876="","-",+C920+1)</f>
        <v>2055</v>
      </c>
      <c r="D921" s="737">
        <f t="shared" si="84"/>
        <v>882821.72032520897</v>
      </c>
      <c r="E921" s="790">
        <f t="shared" si="86"/>
        <v>302681.73268292687</v>
      </c>
      <c r="F921" s="790">
        <f t="shared" si="80"/>
        <v>580139.98764228215</v>
      </c>
      <c r="G921" s="737">
        <f t="shared" si="85"/>
        <v>731480.85398374556</v>
      </c>
      <c r="H921" s="795">
        <f>+J877*G921+E921</f>
        <v>384090.89083636482</v>
      </c>
      <c r="I921" s="796">
        <f>+J878*G921+E921</f>
        <v>384090.89083636482</v>
      </c>
      <c r="J921" s="793">
        <f t="shared" si="87"/>
        <v>0</v>
      </c>
      <c r="K921" s="793"/>
      <c r="L921" s="813"/>
      <c r="M921" s="793">
        <f t="shared" si="81"/>
        <v>0</v>
      </c>
      <c r="N921" s="813"/>
      <c r="O921" s="793">
        <f t="shared" si="82"/>
        <v>0</v>
      </c>
      <c r="P921" s="793">
        <f t="shared" si="83"/>
        <v>0</v>
      </c>
    </row>
    <row r="922" spans="3:16">
      <c r="C922" s="789">
        <f>IF(D876="","-",+C921+1)</f>
        <v>2056</v>
      </c>
      <c r="D922" s="737">
        <f t="shared" si="84"/>
        <v>580139.98764228215</v>
      </c>
      <c r="E922" s="790">
        <f t="shared" si="86"/>
        <v>302681.73268292687</v>
      </c>
      <c r="F922" s="790">
        <f t="shared" si="80"/>
        <v>277458.25495935528</v>
      </c>
      <c r="G922" s="737">
        <f t="shared" si="85"/>
        <v>428799.12130081875</v>
      </c>
      <c r="H922" s="795">
        <f>+J877*G922+E922</f>
        <v>350404.3426349425</v>
      </c>
      <c r="I922" s="796">
        <f>+J878*G922+E922</f>
        <v>350404.3426349425</v>
      </c>
      <c r="J922" s="793">
        <f t="shared" si="87"/>
        <v>0</v>
      </c>
      <c r="K922" s="793"/>
      <c r="L922" s="813"/>
      <c r="M922" s="793">
        <f t="shared" si="81"/>
        <v>0</v>
      </c>
      <c r="N922" s="813"/>
      <c r="O922" s="793">
        <f t="shared" si="82"/>
        <v>0</v>
      </c>
      <c r="P922" s="793">
        <f t="shared" si="83"/>
        <v>0</v>
      </c>
    </row>
    <row r="923" spans="3:16">
      <c r="C923" s="789">
        <f>IF(D876="","-",+C922+1)</f>
        <v>2057</v>
      </c>
      <c r="D923" s="737">
        <f t="shared" si="84"/>
        <v>277458.25495935528</v>
      </c>
      <c r="E923" s="790">
        <f t="shared" si="86"/>
        <v>277458.25495935528</v>
      </c>
      <c r="F923" s="790">
        <f t="shared" si="80"/>
        <v>0</v>
      </c>
      <c r="G923" s="737">
        <f t="shared" si="85"/>
        <v>138729.12747967764</v>
      </c>
      <c r="H923" s="795">
        <f>+J877*G923+E923</f>
        <v>292897.92288500752</v>
      </c>
      <c r="I923" s="796">
        <f>+J878*G923+E923</f>
        <v>292897.92288500752</v>
      </c>
      <c r="J923" s="793">
        <f t="shared" si="87"/>
        <v>0</v>
      </c>
      <c r="K923" s="793"/>
      <c r="L923" s="813"/>
      <c r="M923" s="793">
        <f t="shared" si="81"/>
        <v>0</v>
      </c>
      <c r="N923" s="813"/>
      <c r="O923" s="793">
        <f t="shared" si="82"/>
        <v>0</v>
      </c>
      <c r="P923" s="793">
        <f t="shared" si="83"/>
        <v>0</v>
      </c>
    </row>
    <row r="924" spans="3:16">
      <c r="C924" s="789">
        <f>IF(D876="","-",+C923+1)</f>
        <v>2058</v>
      </c>
      <c r="D924" s="737">
        <f t="shared" si="84"/>
        <v>0</v>
      </c>
      <c r="E924" s="790">
        <f t="shared" si="86"/>
        <v>0</v>
      </c>
      <c r="F924" s="790">
        <f t="shared" si="80"/>
        <v>0</v>
      </c>
      <c r="G924" s="737">
        <f t="shared" si="85"/>
        <v>0</v>
      </c>
      <c r="H924" s="795">
        <f>+J877*G924+E924</f>
        <v>0</v>
      </c>
      <c r="I924" s="796">
        <f>+J878*G924+E924</f>
        <v>0</v>
      </c>
      <c r="J924" s="793">
        <f t="shared" si="87"/>
        <v>0</v>
      </c>
      <c r="K924" s="793"/>
      <c r="L924" s="813"/>
      <c r="M924" s="793">
        <f t="shared" si="81"/>
        <v>0</v>
      </c>
      <c r="N924" s="813"/>
      <c r="O924" s="793">
        <f t="shared" si="82"/>
        <v>0</v>
      </c>
      <c r="P924" s="793">
        <f t="shared" si="83"/>
        <v>0</v>
      </c>
    </row>
    <row r="925" spans="3:16">
      <c r="C925" s="789">
        <f>IF(D876="","-",+C924+1)</f>
        <v>2059</v>
      </c>
      <c r="D925" s="737">
        <f t="shared" si="84"/>
        <v>0</v>
      </c>
      <c r="E925" s="790">
        <f t="shared" si="86"/>
        <v>0</v>
      </c>
      <c r="F925" s="790">
        <f t="shared" si="80"/>
        <v>0</v>
      </c>
      <c r="G925" s="737">
        <f t="shared" si="85"/>
        <v>0</v>
      </c>
      <c r="H925" s="795">
        <f>+J877*G925+E925</f>
        <v>0</v>
      </c>
      <c r="I925" s="796">
        <f>+J878*G925+E925</f>
        <v>0</v>
      </c>
      <c r="J925" s="793">
        <f t="shared" si="87"/>
        <v>0</v>
      </c>
      <c r="K925" s="793"/>
      <c r="L925" s="813"/>
      <c r="M925" s="793">
        <f t="shared" si="81"/>
        <v>0</v>
      </c>
      <c r="N925" s="813"/>
      <c r="O925" s="793">
        <f t="shared" si="82"/>
        <v>0</v>
      </c>
      <c r="P925" s="793">
        <f t="shared" si="83"/>
        <v>0</v>
      </c>
    </row>
    <row r="926" spans="3:16">
      <c r="C926" s="789">
        <f>IF(D876="","-",+C925+1)</f>
        <v>2060</v>
      </c>
      <c r="D926" s="737">
        <f t="shared" si="84"/>
        <v>0</v>
      </c>
      <c r="E926" s="790">
        <f t="shared" si="86"/>
        <v>0</v>
      </c>
      <c r="F926" s="790">
        <f t="shared" si="80"/>
        <v>0</v>
      </c>
      <c r="G926" s="737">
        <f t="shared" si="85"/>
        <v>0</v>
      </c>
      <c r="H926" s="795">
        <f>+J877*G926+E926</f>
        <v>0</v>
      </c>
      <c r="I926" s="796">
        <f>+J878*G926+E926</f>
        <v>0</v>
      </c>
      <c r="J926" s="793">
        <f t="shared" si="87"/>
        <v>0</v>
      </c>
      <c r="K926" s="793"/>
      <c r="L926" s="813"/>
      <c r="M926" s="793">
        <f t="shared" si="81"/>
        <v>0</v>
      </c>
      <c r="N926" s="813"/>
      <c r="O926" s="793">
        <f t="shared" si="82"/>
        <v>0</v>
      </c>
      <c r="P926" s="793">
        <f t="shared" si="83"/>
        <v>0</v>
      </c>
    </row>
    <row r="927" spans="3:16">
      <c r="C927" s="789">
        <f>IF(D876="","-",+C926+1)</f>
        <v>2061</v>
      </c>
      <c r="D927" s="737">
        <f t="shared" si="84"/>
        <v>0</v>
      </c>
      <c r="E927" s="790">
        <f t="shared" si="86"/>
        <v>0</v>
      </c>
      <c r="F927" s="790">
        <f t="shared" si="80"/>
        <v>0</v>
      </c>
      <c r="G927" s="737">
        <f t="shared" si="85"/>
        <v>0</v>
      </c>
      <c r="H927" s="795">
        <f>+J877*G927+E927</f>
        <v>0</v>
      </c>
      <c r="I927" s="796">
        <f>+J878*G927+E927</f>
        <v>0</v>
      </c>
      <c r="J927" s="793">
        <f t="shared" si="87"/>
        <v>0</v>
      </c>
      <c r="K927" s="793"/>
      <c r="L927" s="813"/>
      <c r="M927" s="793">
        <f t="shared" si="81"/>
        <v>0</v>
      </c>
      <c r="N927" s="813"/>
      <c r="O927" s="793">
        <f t="shared" si="82"/>
        <v>0</v>
      </c>
      <c r="P927" s="793">
        <f t="shared" si="83"/>
        <v>0</v>
      </c>
    </row>
    <row r="928" spans="3:16">
      <c r="C928" s="789">
        <f>IF(D876="","-",+C927+1)</f>
        <v>2062</v>
      </c>
      <c r="D928" s="737">
        <f t="shared" si="84"/>
        <v>0</v>
      </c>
      <c r="E928" s="790">
        <f t="shared" si="86"/>
        <v>0</v>
      </c>
      <c r="F928" s="790">
        <f t="shared" si="80"/>
        <v>0</v>
      </c>
      <c r="G928" s="737">
        <f t="shared" si="85"/>
        <v>0</v>
      </c>
      <c r="H928" s="795">
        <f>+J877*G928+E928</f>
        <v>0</v>
      </c>
      <c r="I928" s="796">
        <f>+J878*G928+E928</f>
        <v>0</v>
      </c>
      <c r="J928" s="793">
        <f t="shared" si="87"/>
        <v>0</v>
      </c>
      <c r="K928" s="793"/>
      <c r="L928" s="813"/>
      <c r="M928" s="793">
        <f t="shared" si="81"/>
        <v>0</v>
      </c>
      <c r="N928" s="813"/>
      <c r="O928" s="793">
        <f t="shared" si="82"/>
        <v>0</v>
      </c>
      <c r="P928" s="793">
        <f t="shared" si="83"/>
        <v>0</v>
      </c>
    </row>
    <row r="929" spans="3:16">
      <c r="C929" s="789">
        <f>IF(D876="","-",+C928+1)</f>
        <v>2063</v>
      </c>
      <c r="D929" s="737">
        <f t="shared" si="84"/>
        <v>0</v>
      </c>
      <c r="E929" s="790">
        <f t="shared" si="86"/>
        <v>0</v>
      </c>
      <c r="F929" s="790">
        <f t="shared" si="80"/>
        <v>0</v>
      </c>
      <c r="G929" s="737">
        <f t="shared" si="85"/>
        <v>0</v>
      </c>
      <c r="H929" s="795">
        <f>+J877*G929+E929</f>
        <v>0</v>
      </c>
      <c r="I929" s="796">
        <f>+J878*G929+E929</f>
        <v>0</v>
      </c>
      <c r="J929" s="793">
        <f t="shared" si="87"/>
        <v>0</v>
      </c>
      <c r="K929" s="793"/>
      <c r="L929" s="813"/>
      <c r="M929" s="793">
        <f t="shared" si="81"/>
        <v>0</v>
      </c>
      <c r="N929" s="813"/>
      <c r="O929" s="793">
        <f t="shared" si="82"/>
        <v>0</v>
      </c>
      <c r="P929" s="793">
        <f t="shared" si="83"/>
        <v>0</v>
      </c>
    </row>
    <row r="930" spans="3:16">
      <c r="C930" s="789">
        <f>IF(D876="","-",+C929+1)</f>
        <v>2064</v>
      </c>
      <c r="D930" s="737">
        <f t="shared" si="84"/>
        <v>0</v>
      </c>
      <c r="E930" s="790">
        <f t="shared" si="86"/>
        <v>0</v>
      </c>
      <c r="F930" s="790">
        <f t="shared" si="80"/>
        <v>0</v>
      </c>
      <c r="G930" s="737">
        <f t="shared" si="85"/>
        <v>0</v>
      </c>
      <c r="H930" s="795">
        <f>+J877*G930+E930</f>
        <v>0</v>
      </c>
      <c r="I930" s="796">
        <f>+J878*G930+E930</f>
        <v>0</v>
      </c>
      <c r="J930" s="793">
        <f t="shared" si="87"/>
        <v>0</v>
      </c>
      <c r="K930" s="793"/>
      <c r="L930" s="813"/>
      <c r="M930" s="793">
        <f t="shared" si="81"/>
        <v>0</v>
      </c>
      <c r="N930" s="813"/>
      <c r="O930" s="793">
        <f t="shared" si="82"/>
        <v>0</v>
      </c>
      <c r="P930" s="793">
        <f t="shared" si="83"/>
        <v>0</v>
      </c>
    </row>
    <row r="931" spans="3:16">
      <c r="C931" s="789">
        <f>IF(D876="","-",+C930+1)</f>
        <v>2065</v>
      </c>
      <c r="D931" s="737">
        <f t="shared" si="84"/>
        <v>0</v>
      </c>
      <c r="E931" s="790">
        <f t="shared" si="86"/>
        <v>0</v>
      </c>
      <c r="F931" s="790">
        <f t="shared" si="80"/>
        <v>0</v>
      </c>
      <c r="G931" s="737">
        <f t="shared" si="85"/>
        <v>0</v>
      </c>
      <c r="H931" s="795">
        <f>+J877*G931+E931</f>
        <v>0</v>
      </c>
      <c r="I931" s="796">
        <f>+J878*G931+E931</f>
        <v>0</v>
      </c>
      <c r="J931" s="793">
        <f t="shared" si="87"/>
        <v>0</v>
      </c>
      <c r="K931" s="793"/>
      <c r="L931" s="813"/>
      <c r="M931" s="793">
        <f t="shared" si="81"/>
        <v>0</v>
      </c>
      <c r="N931" s="813"/>
      <c r="O931" s="793">
        <f t="shared" si="82"/>
        <v>0</v>
      </c>
      <c r="P931" s="793">
        <f t="shared" si="83"/>
        <v>0</v>
      </c>
    </row>
    <row r="932" spans="3:16">
      <c r="C932" s="789">
        <f>IF(D876="","-",+C931+1)</f>
        <v>2066</v>
      </c>
      <c r="D932" s="737">
        <f t="shared" si="84"/>
        <v>0</v>
      </c>
      <c r="E932" s="790">
        <f t="shared" si="86"/>
        <v>0</v>
      </c>
      <c r="F932" s="790">
        <f t="shared" si="80"/>
        <v>0</v>
      </c>
      <c r="G932" s="737">
        <f t="shared" si="85"/>
        <v>0</v>
      </c>
      <c r="H932" s="795">
        <f>+J877*G932+E932</f>
        <v>0</v>
      </c>
      <c r="I932" s="796">
        <f>+J878*G932+E932</f>
        <v>0</v>
      </c>
      <c r="J932" s="793">
        <f t="shared" si="87"/>
        <v>0</v>
      </c>
      <c r="K932" s="793"/>
      <c r="L932" s="813"/>
      <c r="M932" s="793">
        <f t="shared" si="81"/>
        <v>0</v>
      </c>
      <c r="N932" s="813"/>
      <c r="O932" s="793">
        <f t="shared" si="82"/>
        <v>0</v>
      </c>
      <c r="P932" s="793">
        <f t="shared" si="83"/>
        <v>0</v>
      </c>
    </row>
    <row r="933" spans="3:16">
      <c r="C933" s="789">
        <f>IF(D876="","-",+C932+1)</f>
        <v>2067</v>
      </c>
      <c r="D933" s="737">
        <f t="shared" si="84"/>
        <v>0</v>
      </c>
      <c r="E933" s="790">
        <f t="shared" si="86"/>
        <v>0</v>
      </c>
      <c r="F933" s="790">
        <f t="shared" si="80"/>
        <v>0</v>
      </c>
      <c r="G933" s="737">
        <f t="shared" si="85"/>
        <v>0</v>
      </c>
      <c r="H933" s="795">
        <f>+J877*G933+E933</f>
        <v>0</v>
      </c>
      <c r="I933" s="796">
        <f>+J878*G933+E933</f>
        <v>0</v>
      </c>
      <c r="J933" s="793">
        <f t="shared" si="87"/>
        <v>0</v>
      </c>
      <c r="K933" s="793"/>
      <c r="L933" s="813"/>
      <c r="M933" s="793">
        <f t="shared" si="81"/>
        <v>0</v>
      </c>
      <c r="N933" s="813"/>
      <c r="O933" s="793">
        <f t="shared" si="82"/>
        <v>0</v>
      </c>
      <c r="P933" s="793">
        <f t="shared" si="83"/>
        <v>0</v>
      </c>
    </row>
    <row r="934" spans="3:16">
      <c r="C934" s="789">
        <f>IF(D876="","-",+C933+1)</f>
        <v>2068</v>
      </c>
      <c r="D934" s="737">
        <f t="shared" si="84"/>
        <v>0</v>
      </c>
      <c r="E934" s="790">
        <f t="shared" si="86"/>
        <v>0</v>
      </c>
      <c r="F934" s="790">
        <f t="shared" si="80"/>
        <v>0</v>
      </c>
      <c r="G934" s="737">
        <f t="shared" si="85"/>
        <v>0</v>
      </c>
      <c r="H934" s="795">
        <f>+J877*G934+E934</f>
        <v>0</v>
      </c>
      <c r="I934" s="796">
        <f>+J878*G934+E934</f>
        <v>0</v>
      </c>
      <c r="J934" s="793">
        <f t="shared" si="87"/>
        <v>0</v>
      </c>
      <c r="K934" s="793"/>
      <c r="L934" s="813"/>
      <c r="M934" s="793">
        <f t="shared" si="81"/>
        <v>0</v>
      </c>
      <c r="N934" s="813"/>
      <c r="O934" s="793">
        <f t="shared" si="82"/>
        <v>0</v>
      </c>
      <c r="P934" s="793">
        <f t="shared" si="83"/>
        <v>0</v>
      </c>
    </row>
    <row r="935" spans="3:16">
      <c r="C935" s="789">
        <f>IF(D876="","-",+C934+1)</f>
        <v>2069</v>
      </c>
      <c r="D935" s="737">
        <f t="shared" si="84"/>
        <v>0</v>
      </c>
      <c r="E935" s="790">
        <f t="shared" si="86"/>
        <v>0</v>
      </c>
      <c r="F935" s="790">
        <f t="shared" si="80"/>
        <v>0</v>
      </c>
      <c r="G935" s="737">
        <f t="shared" si="85"/>
        <v>0</v>
      </c>
      <c r="H935" s="795">
        <f>+J877*G935+E935</f>
        <v>0</v>
      </c>
      <c r="I935" s="796">
        <f>+J878*G935+E935</f>
        <v>0</v>
      </c>
      <c r="J935" s="793">
        <f t="shared" si="87"/>
        <v>0</v>
      </c>
      <c r="K935" s="793"/>
      <c r="L935" s="813"/>
      <c r="M935" s="793">
        <f t="shared" si="81"/>
        <v>0</v>
      </c>
      <c r="N935" s="813"/>
      <c r="O935" s="793">
        <f t="shared" si="82"/>
        <v>0</v>
      </c>
      <c r="P935" s="793">
        <f t="shared" si="83"/>
        <v>0</v>
      </c>
    </row>
    <row r="936" spans="3:16">
      <c r="C936" s="789">
        <f>IF(D876="","-",+C935+1)</f>
        <v>2070</v>
      </c>
      <c r="D936" s="737">
        <f t="shared" ref="D936:D941" si="88">F935</f>
        <v>0</v>
      </c>
      <c r="E936" s="790">
        <f t="shared" si="86"/>
        <v>0</v>
      </c>
      <c r="F936" s="790">
        <f t="shared" si="80"/>
        <v>0</v>
      </c>
      <c r="G936" s="737">
        <f t="shared" si="85"/>
        <v>0</v>
      </c>
      <c r="H936" s="795">
        <f>+J877*G936+E936</f>
        <v>0</v>
      </c>
      <c r="I936" s="796">
        <f>+J878*G936+E936</f>
        <v>0</v>
      </c>
      <c r="J936" s="793">
        <f t="shared" si="87"/>
        <v>0</v>
      </c>
      <c r="K936" s="793"/>
      <c r="L936" s="813"/>
      <c r="M936" s="793">
        <f t="shared" si="81"/>
        <v>0</v>
      </c>
      <c r="N936" s="813"/>
      <c r="O936" s="793">
        <f t="shared" si="82"/>
        <v>0</v>
      </c>
      <c r="P936" s="793">
        <f t="shared" si="83"/>
        <v>0</v>
      </c>
    </row>
    <row r="937" spans="3:16">
      <c r="C937" s="789">
        <f>IF(D876="","-",+C936+1)</f>
        <v>2071</v>
      </c>
      <c r="D937" s="737">
        <f t="shared" si="88"/>
        <v>0</v>
      </c>
      <c r="E937" s="790">
        <f t="shared" si="86"/>
        <v>0</v>
      </c>
      <c r="F937" s="790">
        <f t="shared" si="80"/>
        <v>0</v>
      </c>
      <c r="G937" s="737">
        <f t="shared" si="85"/>
        <v>0</v>
      </c>
      <c r="H937" s="795">
        <f>+J877*G937+E937</f>
        <v>0</v>
      </c>
      <c r="I937" s="796">
        <f>+J878*G937+E937</f>
        <v>0</v>
      </c>
      <c r="J937" s="793">
        <f t="shared" si="87"/>
        <v>0</v>
      </c>
      <c r="K937" s="793"/>
      <c r="L937" s="813"/>
      <c r="M937" s="793">
        <f t="shared" si="81"/>
        <v>0</v>
      </c>
      <c r="N937" s="813"/>
      <c r="O937" s="793">
        <f t="shared" si="82"/>
        <v>0</v>
      </c>
      <c r="P937" s="793">
        <f t="shared" si="83"/>
        <v>0</v>
      </c>
    </row>
    <row r="938" spans="3:16">
      <c r="C938" s="789">
        <f>IF(D876="","-",+C937+1)</f>
        <v>2072</v>
      </c>
      <c r="D938" s="737">
        <f t="shared" si="88"/>
        <v>0</v>
      </c>
      <c r="E938" s="790">
        <f t="shared" si="86"/>
        <v>0</v>
      </c>
      <c r="F938" s="790">
        <f t="shared" si="80"/>
        <v>0</v>
      </c>
      <c r="G938" s="737">
        <f t="shared" si="85"/>
        <v>0</v>
      </c>
      <c r="H938" s="795">
        <f>+J877*G938+E938</f>
        <v>0</v>
      </c>
      <c r="I938" s="796">
        <f>+J878*G938+E938</f>
        <v>0</v>
      </c>
      <c r="J938" s="793">
        <f t="shared" si="87"/>
        <v>0</v>
      </c>
      <c r="K938" s="793"/>
      <c r="L938" s="813"/>
      <c r="M938" s="793">
        <f t="shared" si="81"/>
        <v>0</v>
      </c>
      <c r="N938" s="813"/>
      <c r="O938" s="793">
        <f t="shared" si="82"/>
        <v>0</v>
      </c>
      <c r="P938" s="793">
        <f t="shared" si="83"/>
        <v>0</v>
      </c>
    </row>
    <row r="939" spans="3:16">
      <c r="C939" s="789">
        <f>IF(D876="","-",+C938+1)</f>
        <v>2073</v>
      </c>
      <c r="D939" s="737">
        <f t="shared" si="88"/>
        <v>0</v>
      </c>
      <c r="E939" s="790">
        <f t="shared" si="86"/>
        <v>0</v>
      </c>
      <c r="F939" s="790">
        <f t="shared" si="80"/>
        <v>0</v>
      </c>
      <c r="G939" s="737">
        <f t="shared" si="85"/>
        <v>0</v>
      </c>
      <c r="H939" s="795">
        <f>+J877*G939+E939</f>
        <v>0</v>
      </c>
      <c r="I939" s="796">
        <f>+J878*G939+E939</f>
        <v>0</v>
      </c>
      <c r="J939" s="793">
        <f t="shared" si="87"/>
        <v>0</v>
      </c>
      <c r="K939" s="793"/>
      <c r="L939" s="813"/>
      <c r="M939" s="793">
        <f t="shared" si="81"/>
        <v>0</v>
      </c>
      <c r="N939" s="813"/>
      <c r="O939" s="793">
        <f t="shared" si="82"/>
        <v>0</v>
      </c>
      <c r="P939" s="793">
        <f t="shared" si="83"/>
        <v>0</v>
      </c>
    </row>
    <row r="940" spans="3:16">
      <c r="C940" s="789">
        <f>IF(D876="","-",+C939+1)</f>
        <v>2074</v>
      </c>
      <c r="D940" s="737">
        <f t="shared" si="88"/>
        <v>0</v>
      </c>
      <c r="E940" s="790">
        <f t="shared" si="86"/>
        <v>0</v>
      </c>
      <c r="F940" s="790">
        <f t="shared" si="80"/>
        <v>0</v>
      </c>
      <c r="G940" s="737">
        <f t="shared" si="85"/>
        <v>0</v>
      </c>
      <c r="H940" s="795">
        <f>+J877*G940+E940</f>
        <v>0</v>
      </c>
      <c r="I940" s="796">
        <f>+J878*G940+E940</f>
        <v>0</v>
      </c>
      <c r="J940" s="793">
        <f t="shared" si="87"/>
        <v>0</v>
      </c>
      <c r="K940" s="793"/>
      <c r="L940" s="813"/>
      <c r="M940" s="793">
        <f t="shared" si="81"/>
        <v>0</v>
      </c>
      <c r="N940" s="813"/>
      <c r="O940" s="793">
        <f t="shared" si="82"/>
        <v>0</v>
      </c>
      <c r="P940" s="793">
        <f t="shared" si="83"/>
        <v>0</v>
      </c>
    </row>
    <row r="941" spans="3:16" ht="13.5" thickBot="1">
      <c r="C941" s="799">
        <f>IF(D876="","-",+C940+1)</f>
        <v>2075</v>
      </c>
      <c r="D941" s="800">
        <f t="shared" si="88"/>
        <v>0</v>
      </c>
      <c r="E941" s="801">
        <f t="shared" si="86"/>
        <v>0</v>
      </c>
      <c r="F941" s="801">
        <f t="shared" si="80"/>
        <v>0</v>
      </c>
      <c r="G941" s="800">
        <f t="shared" si="85"/>
        <v>0</v>
      </c>
      <c r="H941" s="802">
        <f>+J877*G941+E941</f>
        <v>0</v>
      </c>
      <c r="I941" s="802">
        <f>+J878*G941+E941</f>
        <v>0</v>
      </c>
      <c r="J941" s="803">
        <f t="shared" si="87"/>
        <v>0</v>
      </c>
      <c r="K941" s="793"/>
      <c r="L941" s="814"/>
      <c r="M941" s="803">
        <f t="shared" si="81"/>
        <v>0</v>
      </c>
      <c r="N941" s="814"/>
      <c r="O941" s="803">
        <f t="shared" si="82"/>
        <v>0</v>
      </c>
      <c r="P941" s="803">
        <f t="shared" si="83"/>
        <v>0</v>
      </c>
    </row>
    <row r="942" spans="3:16">
      <c r="C942" s="737" t="s">
        <v>83</v>
      </c>
      <c r="D942" s="731"/>
      <c r="E942" s="731">
        <f>SUM(E882:E941)</f>
        <v>12409951.040000001</v>
      </c>
      <c r="F942" s="731"/>
      <c r="G942" s="731"/>
      <c r="H942" s="731">
        <f>SUM(H882:H941)</f>
        <v>41989547.573198959</v>
      </c>
      <c r="I942" s="731">
        <f>SUM(I882:I941)</f>
        <v>41989547.573198959</v>
      </c>
      <c r="J942" s="731">
        <f>SUM(J882:J941)</f>
        <v>0</v>
      </c>
      <c r="K942" s="731"/>
      <c r="L942" s="731"/>
      <c r="M942" s="731"/>
      <c r="N942" s="731"/>
      <c r="O942" s="731"/>
    </row>
    <row r="943" spans="3:16">
      <c r="D943" s="539"/>
      <c r="E943" s="314"/>
      <c r="F943" s="314"/>
      <c r="G943" s="314"/>
      <c r="H943" s="314"/>
      <c r="I943" s="709"/>
      <c r="J943" s="709"/>
      <c r="K943" s="731"/>
      <c r="L943" s="709"/>
      <c r="M943" s="709"/>
      <c r="N943" s="709"/>
      <c r="O943" s="709"/>
    </row>
    <row r="944" spans="3:16">
      <c r="C944" s="314" t="s">
        <v>13</v>
      </c>
      <c r="D944" s="539"/>
      <c r="E944" s="314"/>
      <c r="F944" s="314"/>
      <c r="G944" s="314"/>
      <c r="H944" s="314"/>
      <c r="I944" s="709"/>
      <c r="J944" s="709"/>
      <c r="K944" s="731"/>
      <c r="L944" s="709"/>
      <c r="M944" s="709"/>
      <c r="N944" s="709"/>
      <c r="O944" s="709"/>
    </row>
    <row r="945" spans="1:17">
      <c r="C945" s="314"/>
      <c r="D945" s="539"/>
      <c r="E945" s="314"/>
      <c r="F945" s="314"/>
      <c r="G945" s="314"/>
      <c r="H945" s="314"/>
      <c r="I945" s="709"/>
      <c r="J945" s="709"/>
      <c r="K945" s="731"/>
      <c r="L945" s="709"/>
      <c r="M945" s="709"/>
      <c r="N945" s="709"/>
      <c r="O945" s="709"/>
    </row>
    <row r="946" spans="1:17">
      <c r="C946" s="750" t="s">
        <v>14</v>
      </c>
      <c r="D946" s="737"/>
      <c r="E946" s="737"/>
      <c r="F946" s="737"/>
      <c r="G946" s="737"/>
      <c r="H946" s="731"/>
      <c r="I946" s="731"/>
      <c r="J946" s="805"/>
      <c r="K946" s="805"/>
      <c r="L946" s="805"/>
      <c r="M946" s="805"/>
      <c r="N946" s="805"/>
      <c r="O946" s="805"/>
    </row>
    <row r="947" spans="1:17">
      <c r="C947" s="736" t="s">
        <v>263</v>
      </c>
      <c r="D947" s="737"/>
      <c r="E947" s="737"/>
      <c r="F947" s="737"/>
      <c r="G947" s="737"/>
      <c r="H947" s="731"/>
      <c r="I947" s="731"/>
      <c r="J947" s="805"/>
      <c r="K947" s="805"/>
      <c r="L947" s="805"/>
      <c r="M947" s="805"/>
      <c r="N947" s="805"/>
      <c r="O947" s="805"/>
    </row>
    <row r="948" spans="1:17">
      <c r="C948" s="736" t="s">
        <v>84</v>
      </c>
      <c r="D948" s="737"/>
      <c r="E948" s="737"/>
      <c r="F948" s="737"/>
      <c r="G948" s="737"/>
      <c r="H948" s="731"/>
      <c r="I948" s="731"/>
      <c r="J948" s="805"/>
      <c r="K948" s="805"/>
      <c r="L948" s="805"/>
      <c r="M948" s="805"/>
      <c r="N948" s="805"/>
      <c r="O948" s="805"/>
    </row>
    <row r="950" spans="1:17" ht="20.25">
      <c r="A950" s="738" t="str">
        <f>""&amp;A875&amp;" Worksheet K -  ATRR TRUE-UP Calculation for PJM Projects Charged to Benefiting Zones"</f>
        <v xml:space="preserve"> Worksheet K -  ATRR TRUE-UP Calculation for PJM Projects Charged to Benefiting Zones</v>
      </c>
      <c r="B950" s="348"/>
      <c r="C950" s="726"/>
      <c r="D950" s="539"/>
      <c r="E950" s="314"/>
      <c r="F950" s="708"/>
      <c r="G950" s="708"/>
      <c r="H950" s="314"/>
      <c r="I950" s="709"/>
      <c r="L950" s="565"/>
      <c r="M950" s="565"/>
      <c r="N950" s="565"/>
      <c r="O950" s="654" t="str">
        <f>"Page "&amp;SUM(Q$8:Q950)&amp;" of "</f>
        <v xml:space="preserve">Page 12 of </v>
      </c>
      <c r="P950" s="655">
        <f>COUNT(Q$8:Q$57702)</f>
        <v>12</v>
      </c>
      <c r="Q950" s="739">
        <v>1</v>
      </c>
    </row>
    <row r="951" spans="1:17">
      <c r="B951" s="348"/>
      <c r="C951" s="314"/>
      <c r="D951" s="539"/>
      <c r="E951" s="314"/>
      <c r="F951" s="314"/>
      <c r="G951" s="314"/>
      <c r="H951" s="314"/>
      <c r="I951" s="709"/>
      <c r="J951" s="314"/>
      <c r="K951" s="427"/>
    </row>
    <row r="952" spans="1:17" ht="18">
      <c r="B952" s="658" t="s">
        <v>466</v>
      </c>
      <c r="C952" s="740" t="s">
        <v>85</v>
      </c>
      <c r="D952" s="539"/>
      <c r="E952" s="314"/>
      <c r="F952" s="314"/>
      <c r="G952" s="314"/>
      <c r="H952" s="314"/>
      <c r="I952" s="709"/>
      <c r="J952" s="709"/>
      <c r="K952" s="731"/>
      <c r="L952" s="709"/>
      <c r="M952" s="709"/>
      <c r="N952" s="709"/>
      <c r="O952" s="709"/>
    </row>
    <row r="953" spans="1:17" ht="18.75">
      <c r="B953" s="658"/>
      <c r="C953" s="657"/>
      <c r="D953" s="539"/>
      <c r="E953" s="314"/>
      <c r="F953" s="314"/>
      <c r="G953" s="314"/>
      <c r="H953" s="314"/>
      <c r="I953" s="709"/>
      <c r="J953" s="709"/>
      <c r="K953" s="731"/>
      <c r="L953" s="709"/>
      <c r="M953" s="709"/>
      <c r="N953" s="709"/>
      <c r="O953" s="709"/>
    </row>
    <row r="954" spans="1:17" ht="18.75">
      <c r="B954" s="658"/>
      <c r="C954" s="657" t="s">
        <v>86</v>
      </c>
      <c r="D954" s="539"/>
      <c r="E954" s="314"/>
      <c r="F954" s="314"/>
      <c r="G954" s="314"/>
      <c r="H954" s="314"/>
      <c r="I954" s="709"/>
      <c r="J954" s="709"/>
      <c r="K954" s="731"/>
      <c r="L954" s="709"/>
      <c r="M954" s="709"/>
      <c r="N954" s="709"/>
      <c r="O954" s="709"/>
    </row>
    <row r="955" spans="1:17" ht="15.75" thickBot="1">
      <c r="C955" s="240"/>
      <c r="D955" s="539"/>
      <c r="E955" s="314"/>
      <c r="F955" s="314"/>
      <c r="G955" s="314"/>
      <c r="H955" s="314"/>
      <c r="I955" s="709"/>
      <c r="J955" s="709"/>
      <c r="K955" s="731"/>
      <c r="L955" s="709"/>
      <c r="M955" s="709"/>
      <c r="N955" s="709"/>
      <c r="O955" s="709"/>
    </row>
    <row r="956" spans="1:17" ht="15.75">
      <c r="C956" s="660" t="s">
        <v>87</v>
      </c>
      <c r="D956" s="539"/>
      <c r="E956" s="314"/>
      <c r="F956" s="314"/>
      <c r="G956" s="314"/>
      <c r="H956" s="807"/>
      <c r="I956" s="314" t="s">
        <v>66</v>
      </c>
      <c r="J956" s="314"/>
      <c r="K956" s="427"/>
      <c r="L956" s="836">
        <f>+J962</f>
        <v>2022</v>
      </c>
      <c r="M956" s="817" t="s">
        <v>45</v>
      </c>
      <c r="N956" s="817" t="s">
        <v>46</v>
      </c>
      <c r="O956" s="818" t="s">
        <v>47</v>
      </c>
    </row>
    <row r="957" spans="1:17" ht="15.75">
      <c r="C957" s="660"/>
      <c r="D957" s="539"/>
      <c r="E957" s="314"/>
      <c r="F957" s="314"/>
      <c r="H957" s="314"/>
      <c r="I957" s="745"/>
      <c r="J957" s="745"/>
      <c r="K957" s="746"/>
      <c r="L957" s="837" t="s">
        <v>235</v>
      </c>
      <c r="M957" s="838">
        <f>VLOOKUP(J962,C969:P1028,10)</f>
        <v>2397854.6533225263</v>
      </c>
      <c r="N957" s="838">
        <f>VLOOKUP(J962,C969:P1028,12)</f>
        <v>2397854.6533225263</v>
      </c>
      <c r="O957" s="839">
        <f>+N957-M957</f>
        <v>0</v>
      </c>
    </row>
    <row r="958" spans="1:17">
      <c r="C958" s="750" t="s">
        <v>88</v>
      </c>
      <c r="D958" s="1567" t="s">
        <v>822</v>
      </c>
      <c r="E958" s="1567"/>
      <c r="F958" s="1567"/>
      <c r="G958" s="1567"/>
      <c r="H958" s="1567"/>
      <c r="I958" s="1567"/>
      <c r="J958" s="709"/>
      <c r="K958" s="731"/>
      <c r="L958" s="837" t="s">
        <v>236</v>
      </c>
      <c r="M958" s="840">
        <f>VLOOKUP(J962,C969:P1028,6)</f>
        <v>2436617.4136431804</v>
      </c>
      <c r="N958" s="840">
        <f>VLOOKUP(J962,C969:P1028,7)</f>
        <v>2436617.4136431804</v>
      </c>
      <c r="O958" s="841">
        <f>+N958-M958</f>
        <v>0</v>
      </c>
    </row>
    <row r="959" spans="1:17" ht="13.5" thickBot="1">
      <c r="C959" s="754"/>
      <c r="D959" s="755"/>
      <c r="E959" s="735"/>
      <c r="F959" s="735"/>
      <c r="G959" s="735"/>
      <c r="H959" s="756"/>
      <c r="I959" s="709"/>
      <c r="J959" s="709"/>
      <c r="K959" s="731"/>
      <c r="L959" s="773" t="s">
        <v>237</v>
      </c>
      <c r="M959" s="842">
        <f>+M958-M957</f>
        <v>38762.760320654139</v>
      </c>
      <c r="N959" s="842">
        <f>+N958-N957</f>
        <v>38762.760320654139</v>
      </c>
      <c r="O959" s="843">
        <f>+O958-O957</f>
        <v>0</v>
      </c>
    </row>
    <row r="960" spans="1:17" ht="13.5" thickBot="1">
      <c r="C960" s="757"/>
      <c r="D960" s="758"/>
      <c r="E960" s="756"/>
      <c r="F960" s="756"/>
      <c r="G960" s="756"/>
      <c r="H960" s="756"/>
      <c r="I960" s="756"/>
      <c r="J960" s="756"/>
      <c r="K960" s="759"/>
      <c r="L960" s="756"/>
      <c r="M960" s="756"/>
      <c r="N960" s="756"/>
      <c r="O960" s="756"/>
      <c r="P960" s="348"/>
    </row>
    <row r="961" spans="2:16" ht="13.5" thickBot="1">
      <c r="C961" s="760" t="s">
        <v>89</v>
      </c>
      <c r="D961" s="761"/>
      <c r="E961" s="761"/>
      <c r="F961" s="761"/>
      <c r="G961" s="761"/>
      <c r="H961" s="761"/>
      <c r="I961" s="761"/>
      <c r="J961" s="761"/>
      <c r="K961" s="763"/>
      <c r="P961" s="764"/>
    </row>
    <row r="962" spans="2:16" ht="15">
      <c r="C962" s="765" t="s">
        <v>67</v>
      </c>
      <c r="D962" s="809">
        <v>19770916.629999999</v>
      </c>
      <c r="E962" s="726" t="s">
        <v>68</v>
      </c>
      <c r="H962" s="766"/>
      <c r="I962" s="766"/>
      <c r="J962" s="767">
        <f>$J$93</f>
        <v>2022</v>
      </c>
      <c r="K962" s="555"/>
      <c r="L962" s="1569" t="s">
        <v>69</v>
      </c>
      <c r="M962" s="1569"/>
      <c r="N962" s="1569"/>
      <c r="O962" s="1569"/>
      <c r="P962" s="427"/>
    </row>
    <row r="963" spans="2:16">
      <c r="C963" s="765" t="s">
        <v>70</v>
      </c>
      <c r="D963" s="810">
        <v>2017</v>
      </c>
      <c r="E963" s="765" t="s">
        <v>71</v>
      </c>
      <c r="F963" s="766"/>
      <c r="G963" s="766"/>
      <c r="I963" s="173"/>
      <c r="J963" s="811">
        <f>IF(H956="",0,$F$17)</f>
        <v>0</v>
      </c>
      <c r="K963" s="768"/>
      <c r="L963" s="731" t="s">
        <v>277</v>
      </c>
      <c r="P963" s="427"/>
    </row>
    <row r="964" spans="2:16">
      <c r="C964" s="765" t="s">
        <v>72</v>
      </c>
      <c r="D964" s="809">
        <v>11</v>
      </c>
      <c r="E964" s="765" t="s">
        <v>73</v>
      </c>
      <c r="F964" s="766"/>
      <c r="G964" s="766"/>
      <c r="I964" s="173"/>
      <c r="J964" s="769">
        <f>$F$70</f>
        <v>0.11129362813814259</v>
      </c>
      <c r="K964" s="770"/>
      <c r="L964" s="314" t="str">
        <f>"          INPUT TRUE-UP ARR (WITH &amp; WITHOUT INCENTIVES) FROM EACH PRIOR YEAR"</f>
        <v xml:space="preserve">          INPUT TRUE-UP ARR (WITH &amp; WITHOUT INCENTIVES) FROM EACH PRIOR YEAR</v>
      </c>
      <c r="P964" s="427"/>
    </row>
    <row r="965" spans="2:16">
      <c r="C965" s="765" t="s">
        <v>74</v>
      </c>
      <c r="D965" s="771">
        <f>H$79</f>
        <v>41</v>
      </c>
      <c r="E965" s="765" t="s">
        <v>75</v>
      </c>
      <c r="F965" s="766"/>
      <c r="G965" s="766"/>
      <c r="I965" s="173"/>
      <c r="J965" s="769">
        <f>IF(H956="",+J964,$F$69)</f>
        <v>0.11129362813814259</v>
      </c>
      <c r="K965" s="772"/>
      <c r="L965" s="314" t="s">
        <v>157</v>
      </c>
      <c r="M965" s="772"/>
      <c r="N965" s="772"/>
      <c r="O965" s="772"/>
      <c r="P965" s="427"/>
    </row>
    <row r="966" spans="2:16" ht="13.5" thickBot="1">
      <c r="C966" s="765" t="s">
        <v>76</v>
      </c>
      <c r="D966" s="808" t="s">
        <v>811</v>
      </c>
      <c r="E966" s="773" t="s">
        <v>77</v>
      </c>
      <c r="F966" s="774"/>
      <c r="G966" s="774"/>
      <c r="H966" s="775"/>
      <c r="I966" s="775"/>
      <c r="J966" s="753">
        <f>IF(D962=0,0,D962/D965)</f>
        <v>482217.47878048779</v>
      </c>
      <c r="K966" s="731"/>
      <c r="L966" s="731" t="s">
        <v>158</v>
      </c>
      <c r="M966" s="731"/>
      <c r="N966" s="731"/>
      <c r="O966" s="731"/>
      <c r="P966" s="427"/>
    </row>
    <row r="967" spans="2:16" ht="38.25">
      <c r="B967" s="846"/>
      <c r="C967" s="776" t="s">
        <v>67</v>
      </c>
      <c r="D967" s="777" t="s">
        <v>78</v>
      </c>
      <c r="E967" s="778" t="s">
        <v>79</v>
      </c>
      <c r="F967" s="777" t="s">
        <v>80</v>
      </c>
      <c r="G967" s="777" t="s">
        <v>238</v>
      </c>
      <c r="H967" s="778" t="s">
        <v>151</v>
      </c>
      <c r="I967" s="779" t="s">
        <v>151</v>
      </c>
      <c r="J967" s="776" t="s">
        <v>90</v>
      </c>
      <c r="K967" s="780"/>
      <c r="L967" s="778" t="s">
        <v>153</v>
      </c>
      <c r="M967" s="778" t="s">
        <v>159</v>
      </c>
      <c r="N967" s="778" t="s">
        <v>153</v>
      </c>
      <c r="O967" s="778" t="s">
        <v>161</v>
      </c>
      <c r="P967" s="778" t="s">
        <v>81</v>
      </c>
    </row>
    <row r="968" spans="2:16" ht="13.5" thickBot="1">
      <c r="C968" s="782" t="s">
        <v>469</v>
      </c>
      <c r="D968" s="783" t="s">
        <v>470</v>
      </c>
      <c r="E968" s="782" t="s">
        <v>363</v>
      </c>
      <c r="F968" s="783" t="s">
        <v>470</v>
      </c>
      <c r="G968" s="783" t="s">
        <v>470</v>
      </c>
      <c r="H968" s="784" t="s">
        <v>93</v>
      </c>
      <c r="I968" s="785" t="s">
        <v>95</v>
      </c>
      <c r="J968" s="786" t="s">
        <v>15</v>
      </c>
      <c r="K968" s="787"/>
      <c r="L968" s="784" t="s">
        <v>82</v>
      </c>
      <c r="M968" s="784" t="s">
        <v>82</v>
      </c>
      <c r="N968" s="784" t="s">
        <v>255</v>
      </c>
      <c r="O968" s="784" t="s">
        <v>255</v>
      </c>
      <c r="P968" s="784" t="s">
        <v>255</v>
      </c>
    </row>
    <row r="969" spans="2:16">
      <c r="C969" s="789">
        <f>IF(D963= "","-",D963)</f>
        <v>2017</v>
      </c>
      <c r="D969" s="737">
        <f>+D962</f>
        <v>19770916.629999999</v>
      </c>
      <c r="E969" s="795">
        <f>+J966/12*(12-D964)</f>
        <v>40184.78989837398</v>
      </c>
      <c r="F969" s="844">
        <f t="shared" ref="F969:F1028" si="89">+D969-E969</f>
        <v>19730731.840101626</v>
      </c>
      <c r="G969" s="737">
        <f>+(D969+F969)/2</f>
        <v>19750824.235050812</v>
      </c>
      <c r="H969" s="791">
        <f>+J964*G969+E969</f>
        <v>2238325.6777359336</v>
      </c>
      <c r="I969" s="792">
        <f>+J965*G969+E969</f>
        <v>2238325.6777359336</v>
      </c>
      <c r="J969" s="793">
        <f>+I969-H969</f>
        <v>0</v>
      </c>
      <c r="K969" s="793"/>
      <c r="L969" s="812">
        <v>1226646</v>
      </c>
      <c r="M969" s="845">
        <f t="shared" ref="M969:M1028" si="90">IF(L969&lt;&gt;0,+H969-L969,0)</f>
        <v>1011679.6777359336</v>
      </c>
      <c r="N969" s="812">
        <v>1226646</v>
      </c>
      <c r="O969" s="845">
        <f t="shared" ref="O969:O1028" si="91">IF(N969&lt;&gt;0,+I969-N969,0)</f>
        <v>1011679.6777359336</v>
      </c>
      <c r="P969" s="845">
        <f t="shared" ref="P969:P1028" si="92">+O969-M969</f>
        <v>0</v>
      </c>
    </row>
    <row r="970" spans="2:16">
      <c r="C970" s="789">
        <f>IF(D963="","-",+C969+1)</f>
        <v>2018</v>
      </c>
      <c r="D970" s="1377">
        <f t="shared" ref="D970:D1022" si="93">F969</f>
        <v>19730731.840101626</v>
      </c>
      <c r="E970" s="790">
        <f>IF(D970&gt;$J$966,$J$966,D970)</f>
        <v>482217.47878048779</v>
      </c>
      <c r="F970" s="790">
        <f t="shared" si="89"/>
        <v>19248514.361321136</v>
      </c>
      <c r="G970" s="737">
        <f t="shared" ref="G970:G1028" si="94">+(D970+F970)/2</f>
        <v>19489623.100711383</v>
      </c>
      <c r="H970" s="795">
        <f>+J964*G970+E970</f>
        <v>2651288.3447036138</v>
      </c>
      <c r="I970" s="796">
        <f>+J965*G970+E970</f>
        <v>2651288.3447036138</v>
      </c>
      <c r="J970" s="793">
        <f>+I970-H970</f>
        <v>0</v>
      </c>
      <c r="K970" s="793"/>
      <c r="L970" s="813">
        <v>2159068</v>
      </c>
      <c r="M970" s="793">
        <f t="shared" si="90"/>
        <v>492220.34470361378</v>
      </c>
      <c r="N970" s="813">
        <v>2159068</v>
      </c>
      <c r="O970" s="793">
        <f t="shared" si="91"/>
        <v>492220.34470361378</v>
      </c>
      <c r="P970" s="793">
        <f t="shared" si="92"/>
        <v>0</v>
      </c>
    </row>
    <row r="971" spans="2:16">
      <c r="C971" s="789">
        <f>IF(D963="","-",+C970+1)</f>
        <v>2019</v>
      </c>
      <c r="D971" s="737">
        <f t="shared" si="93"/>
        <v>19248514.361321136</v>
      </c>
      <c r="E971" s="790">
        <f t="shared" ref="E971:E1028" si="95">IF(D971&gt;$J$966,$J$966,D971)</f>
        <v>482217.47878048779</v>
      </c>
      <c r="F971" s="790">
        <f t="shared" si="89"/>
        <v>18766296.882540647</v>
      </c>
      <c r="G971" s="737">
        <f t="shared" si="94"/>
        <v>19007405.62193089</v>
      </c>
      <c r="H971" s="795">
        <f>+J964*G971+E971</f>
        <v>2597620.6119385054</v>
      </c>
      <c r="I971" s="796">
        <f>+J965*G971+E971</f>
        <v>2597620.6119385054</v>
      </c>
      <c r="J971" s="793">
        <f t="shared" ref="J971:J1028" si="96">+I971-H971</f>
        <v>0</v>
      </c>
      <c r="K971" s="793"/>
      <c r="L971" s="813">
        <v>2374314.9777875165</v>
      </c>
      <c r="M971" s="793">
        <f t="shared" si="90"/>
        <v>223305.63415098889</v>
      </c>
      <c r="N971" s="813">
        <v>2374314.9777875165</v>
      </c>
      <c r="O971" s="793">
        <f t="shared" si="91"/>
        <v>223305.63415098889</v>
      </c>
      <c r="P971" s="793">
        <f t="shared" si="92"/>
        <v>0</v>
      </c>
    </row>
    <row r="972" spans="2:16">
      <c r="C972" s="789">
        <f>IF(D963="","-",+C971+1)</f>
        <v>2020</v>
      </c>
      <c r="D972" s="737">
        <f t="shared" si="93"/>
        <v>18766296.882540647</v>
      </c>
      <c r="E972" s="790">
        <f t="shared" si="95"/>
        <v>482217.47878048779</v>
      </c>
      <c r="F972" s="790">
        <f t="shared" si="89"/>
        <v>18284079.403760158</v>
      </c>
      <c r="G972" s="737">
        <f t="shared" si="94"/>
        <v>18525188.143150404</v>
      </c>
      <c r="H972" s="795">
        <f>+J964*G972+E972</f>
        <v>2543952.8791733971</v>
      </c>
      <c r="I972" s="796">
        <f>+J965*G972+E972</f>
        <v>2543952.8791733971</v>
      </c>
      <c r="J972" s="793">
        <f t="shared" si="96"/>
        <v>0</v>
      </c>
      <c r="K972" s="793"/>
      <c r="L972" s="813">
        <v>2368754.3317693765</v>
      </c>
      <c r="M972" s="793">
        <f t="shared" si="90"/>
        <v>175198.54740402056</v>
      </c>
      <c r="N972" s="813">
        <v>2368754.3317693765</v>
      </c>
      <c r="O972" s="793">
        <f t="shared" si="91"/>
        <v>175198.54740402056</v>
      </c>
      <c r="P972" s="793">
        <f t="shared" si="92"/>
        <v>0</v>
      </c>
    </row>
    <row r="973" spans="2:16">
      <c r="C973" s="789">
        <f>IF(D963="","-",+C972+1)</f>
        <v>2021</v>
      </c>
      <c r="D973" s="737">
        <f t="shared" si="93"/>
        <v>18284079.403760158</v>
      </c>
      <c r="E973" s="790">
        <f t="shared" si="95"/>
        <v>482217.47878048779</v>
      </c>
      <c r="F973" s="790">
        <f t="shared" si="89"/>
        <v>17801861.924979668</v>
      </c>
      <c r="G973" s="737">
        <f t="shared" si="94"/>
        <v>18042970.664369911</v>
      </c>
      <c r="H973" s="795">
        <f>+J964*G973+E973</f>
        <v>2490285.1464082878</v>
      </c>
      <c r="I973" s="796">
        <f>+J965*G973+E973</f>
        <v>2490285.1464082878</v>
      </c>
      <c r="J973" s="793">
        <f t="shared" si="96"/>
        <v>0</v>
      </c>
      <c r="K973" s="793"/>
      <c r="L973" s="813">
        <v>2399100.8654554258</v>
      </c>
      <c r="M973" s="793">
        <f t="shared" si="90"/>
        <v>91184.280952861998</v>
      </c>
      <c r="N973" s="813">
        <v>2399100.8654554258</v>
      </c>
      <c r="O973" s="793">
        <f t="shared" si="91"/>
        <v>91184.280952861998</v>
      </c>
      <c r="P973" s="793">
        <f t="shared" si="92"/>
        <v>0</v>
      </c>
    </row>
    <row r="974" spans="2:16">
      <c r="C974" s="789">
        <f>IF(D963="","-",+C973+1)</f>
        <v>2022</v>
      </c>
      <c r="D974" s="737">
        <f t="shared" si="93"/>
        <v>17801861.924979668</v>
      </c>
      <c r="E974" s="790">
        <f t="shared" si="95"/>
        <v>482217.47878048779</v>
      </c>
      <c r="F974" s="790">
        <f t="shared" si="89"/>
        <v>17319644.446199179</v>
      </c>
      <c r="G974" s="737">
        <f t="shared" si="94"/>
        <v>17560753.185589425</v>
      </c>
      <c r="H974" s="795">
        <f>+J964*G974+E974</f>
        <v>2436617.4136431804</v>
      </c>
      <c r="I974" s="796">
        <f>+J965*G974+E974</f>
        <v>2436617.4136431804</v>
      </c>
      <c r="J974" s="793">
        <f t="shared" si="96"/>
        <v>0</v>
      </c>
      <c r="K974" s="793"/>
      <c r="L974" s="813">
        <v>2397854.6533225263</v>
      </c>
      <c r="M974" s="793">
        <f t="shared" si="90"/>
        <v>38762.760320654139</v>
      </c>
      <c r="N974" s="813">
        <v>2397854.6533225263</v>
      </c>
      <c r="O974" s="793">
        <f t="shared" si="91"/>
        <v>38762.760320654139</v>
      </c>
      <c r="P974" s="793">
        <f t="shared" si="92"/>
        <v>0</v>
      </c>
    </row>
    <row r="975" spans="2:16">
      <c r="C975" s="789">
        <f>IF(D963="","-",+C974+1)</f>
        <v>2023</v>
      </c>
      <c r="D975" s="737">
        <f t="shared" si="93"/>
        <v>17319644.446199179</v>
      </c>
      <c r="E975" s="790">
        <f t="shared" si="95"/>
        <v>482217.47878048779</v>
      </c>
      <c r="F975" s="790">
        <f t="shared" si="89"/>
        <v>16837426.967418689</v>
      </c>
      <c r="G975" s="737">
        <f t="shared" si="94"/>
        <v>17078535.706808932</v>
      </c>
      <c r="H975" s="795">
        <f>+J964*G975+E975</f>
        <v>2382949.6808780711</v>
      </c>
      <c r="I975" s="796">
        <f>+J965*G975+E975</f>
        <v>2382949.6808780711</v>
      </c>
      <c r="J975" s="793">
        <f t="shared" si="96"/>
        <v>0</v>
      </c>
      <c r="K975" s="793"/>
      <c r="L975" s="813"/>
      <c r="M975" s="793">
        <f t="shared" si="90"/>
        <v>0</v>
      </c>
      <c r="N975" s="813"/>
      <c r="O975" s="793">
        <f t="shared" si="91"/>
        <v>0</v>
      </c>
      <c r="P975" s="793">
        <f t="shared" si="92"/>
        <v>0</v>
      </c>
    </row>
    <row r="976" spans="2:16">
      <c r="C976" s="789">
        <f>IF(D963="","-",+C975+1)</f>
        <v>2024</v>
      </c>
      <c r="D976" s="737">
        <f t="shared" si="93"/>
        <v>16837426.967418689</v>
      </c>
      <c r="E976" s="790">
        <f t="shared" si="95"/>
        <v>482217.47878048779</v>
      </c>
      <c r="F976" s="790">
        <f t="shared" si="89"/>
        <v>16355209.488638202</v>
      </c>
      <c r="G976" s="737">
        <f t="shared" si="94"/>
        <v>16596318.228028446</v>
      </c>
      <c r="H976" s="795">
        <f>+J964*G976+E976</f>
        <v>2329281.9481129632</v>
      </c>
      <c r="I976" s="796">
        <f>+J965*G976+E976</f>
        <v>2329281.9481129632</v>
      </c>
      <c r="J976" s="793">
        <f t="shared" si="96"/>
        <v>0</v>
      </c>
      <c r="K976" s="793"/>
      <c r="L976" s="813"/>
      <c r="M976" s="793">
        <f t="shared" si="90"/>
        <v>0</v>
      </c>
      <c r="N976" s="813"/>
      <c r="O976" s="793">
        <f t="shared" si="91"/>
        <v>0</v>
      </c>
      <c r="P976" s="793">
        <f t="shared" si="92"/>
        <v>0</v>
      </c>
    </row>
    <row r="977" spans="3:16">
      <c r="C977" s="789">
        <f>IF(D963="","-",+C976+1)</f>
        <v>2025</v>
      </c>
      <c r="D977" s="737">
        <f t="shared" si="93"/>
        <v>16355209.488638202</v>
      </c>
      <c r="E977" s="790">
        <f t="shared" si="95"/>
        <v>482217.47878048779</v>
      </c>
      <c r="F977" s="790">
        <f t="shared" si="89"/>
        <v>15872992.009857714</v>
      </c>
      <c r="G977" s="737">
        <f t="shared" si="94"/>
        <v>16114100.749247957</v>
      </c>
      <c r="H977" s="795">
        <f>+J964*G977+E977</f>
        <v>2275614.2153478544</v>
      </c>
      <c r="I977" s="796">
        <f>+J965*G977+E977</f>
        <v>2275614.2153478544</v>
      </c>
      <c r="J977" s="793">
        <f t="shared" si="96"/>
        <v>0</v>
      </c>
      <c r="K977" s="793"/>
      <c r="L977" s="813"/>
      <c r="M977" s="793">
        <f t="shared" si="90"/>
        <v>0</v>
      </c>
      <c r="N977" s="813"/>
      <c r="O977" s="793">
        <f t="shared" si="91"/>
        <v>0</v>
      </c>
      <c r="P977" s="793">
        <f t="shared" si="92"/>
        <v>0</v>
      </c>
    </row>
    <row r="978" spans="3:16">
      <c r="C978" s="789">
        <f>IF(D963="","-",+C977+1)</f>
        <v>2026</v>
      </c>
      <c r="D978" s="737">
        <f t="shared" si="93"/>
        <v>15872992.009857714</v>
      </c>
      <c r="E978" s="790">
        <f t="shared" si="95"/>
        <v>482217.47878048779</v>
      </c>
      <c r="F978" s="790">
        <f t="shared" si="89"/>
        <v>15390774.531077227</v>
      </c>
      <c r="G978" s="737">
        <f t="shared" si="94"/>
        <v>15631883.270467471</v>
      </c>
      <c r="H978" s="795">
        <f>+J964*G978+E978</f>
        <v>2221946.482582747</v>
      </c>
      <c r="I978" s="796">
        <f>+J965*G978+E978</f>
        <v>2221946.482582747</v>
      </c>
      <c r="J978" s="793">
        <f t="shared" si="96"/>
        <v>0</v>
      </c>
      <c r="K978" s="793"/>
      <c r="L978" s="813"/>
      <c r="M978" s="793">
        <f t="shared" si="90"/>
        <v>0</v>
      </c>
      <c r="N978" s="813"/>
      <c r="O978" s="793">
        <f t="shared" si="91"/>
        <v>0</v>
      </c>
      <c r="P978" s="793">
        <f t="shared" si="92"/>
        <v>0</v>
      </c>
    </row>
    <row r="979" spans="3:16">
      <c r="C979" s="789">
        <f>IF(D963="","-",+C978+1)</f>
        <v>2027</v>
      </c>
      <c r="D979" s="737">
        <f t="shared" si="93"/>
        <v>15390774.531077227</v>
      </c>
      <c r="E979" s="790">
        <f t="shared" si="95"/>
        <v>482217.47878048779</v>
      </c>
      <c r="F979" s="790">
        <f t="shared" si="89"/>
        <v>14908557.052296739</v>
      </c>
      <c r="G979" s="737">
        <f t="shared" si="94"/>
        <v>15149665.791686982</v>
      </c>
      <c r="H979" s="795">
        <f>+J964*G979+E979</f>
        <v>2168278.7498176382</v>
      </c>
      <c r="I979" s="796">
        <f>+J965*G979+E979</f>
        <v>2168278.7498176382</v>
      </c>
      <c r="J979" s="793">
        <f t="shared" si="96"/>
        <v>0</v>
      </c>
      <c r="K979" s="793"/>
      <c r="L979" s="813"/>
      <c r="M979" s="793">
        <f t="shared" si="90"/>
        <v>0</v>
      </c>
      <c r="N979" s="813"/>
      <c r="O979" s="793">
        <f t="shared" si="91"/>
        <v>0</v>
      </c>
      <c r="P979" s="793">
        <f t="shared" si="92"/>
        <v>0</v>
      </c>
    </row>
    <row r="980" spans="3:16">
      <c r="C980" s="789">
        <f>IF(D963="","-",+C979+1)</f>
        <v>2028</v>
      </c>
      <c r="D980" s="737">
        <f t="shared" si="93"/>
        <v>14908557.052296739</v>
      </c>
      <c r="E980" s="790">
        <f t="shared" si="95"/>
        <v>482217.47878048779</v>
      </c>
      <c r="F980" s="790">
        <f t="shared" si="89"/>
        <v>14426339.573516252</v>
      </c>
      <c r="G980" s="737">
        <f t="shared" si="94"/>
        <v>14667448.312906496</v>
      </c>
      <c r="H980" s="795">
        <f>+J964*G980+E980</f>
        <v>2114611.0170525303</v>
      </c>
      <c r="I980" s="796">
        <f>+J965*G980+E980</f>
        <v>2114611.0170525303</v>
      </c>
      <c r="J980" s="793">
        <f t="shared" si="96"/>
        <v>0</v>
      </c>
      <c r="K980" s="793"/>
      <c r="L980" s="813"/>
      <c r="M980" s="793">
        <f t="shared" si="90"/>
        <v>0</v>
      </c>
      <c r="N980" s="813"/>
      <c r="O980" s="793">
        <f t="shared" si="91"/>
        <v>0</v>
      </c>
      <c r="P980" s="793">
        <f t="shared" si="92"/>
        <v>0</v>
      </c>
    </row>
    <row r="981" spans="3:16">
      <c r="C981" s="789">
        <f>IF(D963="","-",+C980+1)</f>
        <v>2029</v>
      </c>
      <c r="D981" s="737">
        <f t="shared" si="93"/>
        <v>14426339.573516252</v>
      </c>
      <c r="E981" s="790">
        <f t="shared" si="95"/>
        <v>482217.47878048779</v>
      </c>
      <c r="F981" s="790">
        <f t="shared" si="89"/>
        <v>13944122.094735764</v>
      </c>
      <c r="G981" s="737">
        <f t="shared" si="94"/>
        <v>14185230.834126007</v>
      </c>
      <c r="H981" s="795">
        <f>+J964*G981+E981</f>
        <v>2060943.2842874217</v>
      </c>
      <c r="I981" s="796">
        <f>+J965*G981+E981</f>
        <v>2060943.2842874217</v>
      </c>
      <c r="J981" s="793">
        <f t="shared" si="96"/>
        <v>0</v>
      </c>
      <c r="K981" s="793"/>
      <c r="L981" s="813"/>
      <c r="M981" s="793">
        <f t="shared" si="90"/>
        <v>0</v>
      </c>
      <c r="N981" s="813"/>
      <c r="O981" s="793">
        <f t="shared" si="91"/>
        <v>0</v>
      </c>
      <c r="P981" s="793">
        <f t="shared" si="92"/>
        <v>0</v>
      </c>
    </row>
    <row r="982" spans="3:16">
      <c r="C982" s="789">
        <f>IF(D963="","-",+C981+1)</f>
        <v>2030</v>
      </c>
      <c r="D982" s="737">
        <f t="shared" si="93"/>
        <v>13944122.094735764</v>
      </c>
      <c r="E982" s="790">
        <f t="shared" si="95"/>
        <v>482217.47878048779</v>
      </c>
      <c r="F982" s="790">
        <f t="shared" si="89"/>
        <v>13461904.615955276</v>
      </c>
      <c r="G982" s="737">
        <f t="shared" si="94"/>
        <v>13703013.355345521</v>
      </c>
      <c r="H982" s="795">
        <f>+J964*G982+E982</f>
        <v>2007275.5515223136</v>
      </c>
      <c r="I982" s="796">
        <f>+J965*G982+E982</f>
        <v>2007275.5515223136</v>
      </c>
      <c r="J982" s="793">
        <f t="shared" si="96"/>
        <v>0</v>
      </c>
      <c r="K982" s="793"/>
      <c r="L982" s="813"/>
      <c r="M982" s="793">
        <f t="shared" si="90"/>
        <v>0</v>
      </c>
      <c r="N982" s="813"/>
      <c r="O982" s="793">
        <f t="shared" si="91"/>
        <v>0</v>
      </c>
      <c r="P982" s="793">
        <f t="shared" si="92"/>
        <v>0</v>
      </c>
    </row>
    <row r="983" spans="3:16">
      <c r="C983" s="789">
        <f>IF(D963="","-",+C982+1)</f>
        <v>2031</v>
      </c>
      <c r="D983" s="737">
        <f t="shared" si="93"/>
        <v>13461904.615955276</v>
      </c>
      <c r="E983" s="790">
        <f t="shared" si="95"/>
        <v>482217.47878048779</v>
      </c>
      <c r="F983" s="790">
        <f t="shared" si="89"/>
        <v>12979687.137174789</v>
      </c>
      <c r="G983" s="737">
        <f t="shared" si="94"/>
        <v>13220795.876565032</v>
      </c>
      <c r="H983" s="795">
        <f>+J964*G983+E983</f>
        <v>1953607.8187572053</v>
      </c>
      <c r="I983" s="796">
        <f>+J965*G983+E983</f>
        <v>1953607.8187572053</v>
      </c>
      <c r="J983" s="793">
        <f t="shared" si="96"/>
        <v>0</v>
      </c>
      <c r="K983" s="793"/>
      <c r="L983" s="813"/>
      <c r="M983" s="793">
        <f t="shared" si="90"/>
        <v>0</v>
      </c>
      <c r="N983" s="813"/>
      <c r="O983" s="793">
        <f t="shared" si="91"/>
        <v>0</v>
      </c>
      <c r="P983" s="793">
        <f t="shared" si="92"/>
        <v>0</v>
      </c>
    </row>
    <row r="984" spans="3:16">
      <c r="C984" s="789">
        <f>IF(D963="","-",+C983+1)</f>
        <v>2032</v>
      </c>
      <c r="D984" s="737">
        <f t="shared" si="93"/>
        <v>12979687.137174789</v>
      </c>
      <c r="E984" s="790">
        <f t="shared" si="95"/>
        <v>482217.47878048779</v>
      </c>
      <c r="F984" s="790">
        <f t="shared" si="89"/>
        <v>12497469.658394301</v>
      </c>
      <c r="G984" s="737">
        <f t="shared" si="94"/>
        <v>12738578.397784546</v>
      </c>
      <c r="H984" s="795">
        <f>+J964*G984+E984</f>
        <v>1899940.0859920972</v>
      </c>
      <c r="I984" s="796">
        <f>+J965*G984+E984</f>
        <v>1899940.0859920972</v>
      </c>
      <c r="J984" s="793">
        <f t="shared" si="96"/>
        <v>0</v>
      </c>
      <c r="K984" s="793"/>
      <c r="L984" s="813"/>
      <c r="M984" s="793">
        <f t="shared" si="90"/>
        <v>0</v>
      </c>
      <c r="N984" s="813"/>
      <c r="O984" s="793">
        <f t="shared" si="91"/>
        <v>0</v>
      </c>
      <c r="P984" s="793">
        <f t="shared" si="92"/>
        <v>0</v>
      </c>
    </row>
    <row r="985" spans="3:16">
      <c r="C985" s="789">
        <f>IF(D963="","-",+C984+1)</f>
        <v>2033</v>
      </c>
      <c r="D985" s="737">
        <f t="shared" si="93"/>
        <v>12497469.658394301</v>
      </c>
      <c r="E985" s="790">
        <f t="shared" si="95"/>
        <v>482217.47878048779</v>
      </c>
      <c r="F985" s="790">
        <f t="shared" si="89"/>
        <v>12015252.179613814</v>
      </c>
      <c r="G985" s="737">
        <f t="shared" si="94"/>
        <v>12256360.919004057</v>
      </c>
      <c r="H985" s="795">
        <f>+J964*G985+E985</f>
        <v>1846272.3532269888</v>
      </c>
      <c r="I985" s="796">
        <f>+J965*G985+E985</f>
        <v>1846272.3532269888</v>
      </c>
      <c r="J985" s="793">
        <f t="shared" si="96"/>
        <v>0</v>
      </c>
      <c r="K985" s="793"/>
      <c r="L985" s="813"/>
      <c r="M985" s="793">
        <f t="shared" si="90"/>
        <v>0</v>
      </c>
      <c r="N985" s="813"/>
      <c r="O985" s="793">
        <f t="shared" si="91"/>
        <v>0</v>
      </c>
      <c r="P985" s="793">
        <f t="shared" si="92"/>
        <v>0</v>
      </c>
    </row>
    <row r="986" spans="3:16">
      <c r="C986" s="789">
        <f>IF(D963="","-",+C985+1)</f>
        <v>2034</v>
      </c>
      <c r="D986" s="737">
        <f t="shared" si="93"/>
        <v>12015252.179613814</v>
      </c>
      <c r="E986" s="790">
        <f t="shared" si="95"/>
        <v>482217.47878048779</v>
      </c>
      <c r="F986" s="790">
        <f t="shared" si="89"/>
        <v>11533034.700833326</v>
      </c>
      <c r="G986" s="737">
        <f t="shared" si="94"/>
        <v>11774143.440223571</v>
      </c>
      <c r="H986" s="795">
        <f>+J964*G986+E986</f>
        <v>1792604.6204618807</v>
      </c>
      <c r="I986" s="796">
        <f>+J965*G986+E986</f>
        <v>1792604.6204618807</v>
      </c>
      <c r="J986" s="793">
        <f t="shared" si="96"/>
        <v>0</v>
      </c>
      <c r="K986" s="793"/>
      <c r="L986" s="813"/>
      <c r="M986" s="793">
        <f t="shared" si="90"/>
        <v>0</v>
      </c>
      <c r="N986" s="813"/>
      <c r="O986" s="793">
        <f t="shared" si="91"/>
        <v>0</v>
      </c>
      <c r="P986" s="793">
        <f t="shared" si="92"/>
        <v>0</v>
      </c>
    </row>
    <row r="987" spans="3:16">
      <c r="C987" s="789">
        <f>IF(D963="","-",+C986+1)</f>
        <v>2035</v>
      </c>
      <c r="D987" s="737">
        <f t="shared" si="93"/>
        <v>11533034.700833326</v>
      </c>
      <c r="E987" s="790">
        <f t="shared" si="95"/>
        <v>482217.47878048779</v>
      </c>
      <c r="F987" s="790">
        <f t="shared" si="89"/>
        <v>11050817.222052839</v>
      </c>
      <c r="G987" s="737">
        <f t="shared" si="94"/>
        <v>11291925.961443081</v>
      </c>
      <c r="H987" s="795">
        <f>+J964*G987+E987</f>
        <v>1738936.8876967723</v>
      </c>
      <c r="I987" s="796">
        <f>+J965*G987+E987</f>
        <v>1738936.8876967723</v>
      </c>
      <c r="J987" s="793">
        <f t="shared" si="96"/>
        <v>0</v>
      </c>
      <c r="K987" s="793"/>
      <c r="L987" s="813"/>
      <c r="M987" s="793">
        <f t="shared" si="90"/>
        <v>0</v>
      </c>
      <c r="N987" s="813"/>
      <c r="O987" s="793">
        <f t="shared" si="91"/>
        <v>0</v>
      </c>
      <c r="P987" s="793">
        <f t="shared" si="92"/>
        <v>0</v>
      </c>
    </row>
    <row r="988" spans="3:16">
      <c r="C988" s="789">
        <f>IF(D963="","-",+C987+1)</f>
        <v>2036</v>
      </c>
      <c r="D988" s="737">
        <f t="shared" si="93"/>
        <v>11050817.222052839</v>
      </c>
      <c r="E988" s="790">
        <f t="shared" si="95"/>
        <v>482217.47878048779</v>
      </c>
      <c r="F988" s="790">
        <f t="shared" si="89"/>
        <v>10568599.743272351</v>
      </c>
      <c r="G988" s="737">
        <f t="shared" si="94"/>
        <v>10809708.482662596</v>
      </c>
      <c r="H988" s="795">
        <f>+J964*G988+E988</f>
        <v>1685269.1549316642</v>
      </c>
      <c r="I988" s="796">
        <f>+J965*G988+E988</f>
        <v>1685269.1549316642</v>
      </c>
      <c r="J988" s="793">
        <f t="shared" si="96"/>
        <v>0</v>
      </c>
      <c r="K988" s="793"/>
      <c r="L988" s="813"/>
      <c r="M988" s="793">
        <f t="shared" si="90"/>
        <v>0</v>
      </c>
      <c r="N988" s="813"/>
      <c r="O988" s="793">
        <f t="shared" si="91"/>
        <v>0</v>
      </c>
      <c r="P988" s="793">
        <f t="shared" si="92"/>
        <v>0</v>
      </c>
    </row>
    <row r="989" spans="3:16">
      <c r="C989" s="789">
        <f>IF(D963="","-",+C988+1)</f>
        <v>2037</v>
      </c>
      <c r="D989" s="737">
        <f t="shared" si="93"/>
        <v>10568599.743272351</v>
      </c>
      <c r="E989" s="790">
        <f t="shared" si="95"/>
        <v>482217.47878048779</v>
      </c>
      <c r="F989" s="790">
        <f t="shared" si="89"/>
        <v>10086382.264491864</v>
      </c>
      <c r="G989" s="737">
        <f t="shared" si="94"/>
        <v>10327491.003882106</v>
      </c>
      <c r="H989" s="795">
        <f>+J964*G989+E989</f>
        <v>1631601.4221665559</v>
      </c>
      <c r="I989" s="796">
        <f>+J965*G989+E989</f>
        <v>1631601.4221665559</v>
      </c>
      <c r="J989" s="793">
        <f t="shared" si="96"/>
        <v>0</v>
      </c>
      <c r="K989" s="793"/>
      <c r="L989" s="813"/>
      <c r="M989" s="793">
        <f t="shared" si="90"/>
        <v>0</v>
      </c>
      <c r="N989" s="813"/>
      <c r="O989" s="793">
        <f t="shared" si="91"/>
        <v>0</v>
      </c>
      <c r="P989" s="793">
        <f t="shared" si="92"/>
        <v>0</v>
      </c>
    </row>
    <row r="990" spans="3:16">
      <c r="C990" s="789">
        <f>IF(D963="","-",+C989+1)</f>
        <v>2038</v>
      </c>
      <c r="D990" s="737">
        <f t="shared" si="93"/>
        <v>10086382.264491864</v>
      </c>
      <c r="E990" s="790">
        <f t="shared" si="95"/>
        <v>482217.47878048779</v>
      </c>
      <c r="F990" s="790">
        <f t="shared" si="89"/>
        <v>9604164.785711376</v>
      </c>
      <c r="G990" s="737">
        <f t="shared" si="94"/>
        <v>9845273.5251016207</v>
      </c>
      <c r="H990" s="795">
        <f>+J964*G990+E990</f>
        <v>1577933.6894014478</v>
      </c>
      <c r="I990" s="796">
        <f>+J965*G990+E990</f>
        <v>1577933.6894014478</v>
      </c>
      <c r="J990" s="793">
        <f t="shared" si="96"/>
        <v>0</v>
      </c>
      <c r="K990" s="793"/>
      <c r="L990" s="813"/>
      <c r="M990" s="793">
        <f t="shared" si="90"/>
        <v>0</v>
      </c>
      <c r="N990" s="813"/>
      <c r="O990" s="793">
        <f t="shared" si="91"/>
        <v>0</v>
      </c>
      <c r="P990" s="793">
        <f t="shared" si="92"/>
        <v>0</v>
      </c>
    </row>
    <row r="991" spans="3:16">
      <c r="C991" s="789">
        <f>IF(D963="","-",+C990+1)</f>
        <v>2039</v>
      </c>
      <c r="D991" s="737">
        <f t="shared" si="93"/>
        <v>9604164.785711376</v>
      </c>
      <c r="E991" s="790">
        <f t="shared" si="95"/>
        <v>482217.47878048779</v>
      </c>
      <c r="F991" s="790">
        <f t="shared" si="89"/>
        <v>9121947.3069308884</v>
      </c>
      <c r="G991" s="737">
        <f t="shared" si="94"/>
        <v>9363056.0463211313</v>
      </c>
      <c r="H991" s="795">
        <f>+J964*G991+E991</f>
        <v>1524265.9566363394</v>
      </c>
      <c r="I991" s="796">
        <f>+J965*G991+E991</f>
        <v>1524265.9566363394</v>
      </c>
      <c r="J991" s="793">
        <f t="shared" si="96"/>
        <v>0</v>
      </c>
      <c r="K991" s="793"/>
      <c r="L991" s="813"/>
      <c r="M991" s="793">
        <f t="shared" si="90"/>
        <v>0</v>
      </c>
      <c r="N991" s="813"/>
      <c r="O991" s="793">
        <f t="shared" si="91"/>
        <v>0</v>
      </c>
      <c r="P991" s="793">
        <f t="shared" si="92"/>
        <v>0</v>
      </c>
    </row>
    <row r="992" spans="3:16">
      <c r="C992" s="789">
        <f>IF(D963="","-",+C991+1)</f>
        <v>2040</v>
      </c>
      <c r="D992" s="737">
        <f t="shared" si="93"/>
        <v>9121947.3069308884</v>
      </c>
      <c r="E992" s="790">
        <f t="shared" si="95"/>
        <v>482217.47878048779</v>
      </c>
      <c r="F992" s="790">
        <f t="shared" si="89"/>
        <v>8639729.8281504009</v>
      </c>
      <c r="G992" s="737">
        <f t="shared" si="94"/>
        <v>8880838.5675406456</v>
      </c>
      <c r="H992" s="795">
        <f>+J964*G992+E992</f>
        <v>1470598.2238712313</v>
      </c>
      <c r="I992" s="796">
        <f>+J965*G992+E992</f>
        <v>1470598.2238712313</v>
      </c>
      <c r="J992" s="793">
        <f t="shared" si="96"/>
        <v>0</v>
      </c>
      <c r="K992" s="793"/>
      <c r="L992" s="813"/>
      <c r="M992" s="793">
        <f t="shared" si="90"/>
        <v>0</v>
      </c>
      <c r="N992" s="813"/>
      <c r="O992" s="793">
        <f t="shared" si="91"/>
        <v>0</v>
      </c>
      <c r="P992" s="793">
        <f t="shared" si="92"/>
        <v>0</v>
      </c>
    </row>
    <row r="993" spans="3:16">
      <c r="C993" s="789">
        <f>IF(D963="","-",+C992+1)</f>
        <v>2041</v>
      </c>
      <c r="D993" s="737">
        <f t="shared" si="93"/>
        <v>8639729.8281504009</v>
      </c>
      <c r="E993" s="790">
        <f t="shared" si="95"/>
        <v>482217.47878048779</v>
      </c>
      <c r="F993" s="790">
        <f t="shared" si="89"/>
        <v>8157512.3493699133</v>
      </c>
      <c r="G993" s="737">
        <f t="shared" si="94"/>
        <v>8398621.0887601562</v>
      </c>
      <c r="H993" s="795">
        <f>+J964*G993+E993</f>
        <v>1416930.4911061227</v>
      </c>
      <c r="I993" s="796">
        <f>+J965*G993+E993</f>
        <v>1416930.4911061227</v>
      </c>
      <c r="J993" s="793">
        <f t="shared" si="96"/>
        <v>0</v>
      </c>
      <c r="K993" s="793"/>
      <c r="L993" s="813"/>
      <c r="M993" s="793">
        <f t="shared" si="90"/>
        <v>0</v>
      </c>
      <c r="N993" s="813"/>
      <c r="O993" s="793">
        <f t="shared" si="91"/>
        <v>0</v>
      </c>
      <c r="P993" s="793">
        <f t="shared" si="92"/>
        <v>0</v>
      </c>
    </row>
    <row r="994" spans="3:16">
      <c r="C994" s="789">
        <f>IF(D963="","-",+C993+1)</f>
        <v>2042</v>
      </c>
      <c r="D994" s="737">
        <f t="shared" si="93"/>
        <v>8157512.3493699133</v>
      </c>
      <c r="E994" s="790">
        <f t="shared" si="95"/>
        <v>482217.47878048779</v>
      </c>
      <c r="F994" s="790">
        <f t="shared" si="89"/>
        <v>7675294.8705894258</v>
      </c>
      <c r="G994" s="737">
        <f t="shared" si="94"/>
        <v>7916403.6099796696</v>
      </c>
      <c r="H994" s="795">
        <f>+J964*G994+E994</f>
        <v>1363262.7583410149</v>
      </c>
      <c r="I994" s="796">
        <f>+J965*G994+E994</f>
        <v>1363262.7583410149</v>
      </c>
      <c r="J994" s="793">
        <f t="shared" si="96"/>
        <v>0</v>
      </c>
      <c r="K994" s="793"/>
      <c r="L994" s="813"/>
      <c r="M994" s="793">
        <f t="shared" si="90"/>
        <v>0</v>
      </c>
      <c r="N994" s="813"/>
      <c r="O994" s="793">
        <f t="shared" si="91"/>
        <v>0</v>
      </c>
      <c r="P994" s="793">
        <f t="shared" si="92"/>
        <v>0</v>
      </c>
    </row>
    <row r="995" spans="3:16">
      <c r="C995" s="789">
        <f>IF(D963="","-",+C994+1)</f>
        <v>2043</v>
      </c>
      <c r="D995" s="737">
        <f t="shared" si="93"/>
        <v>7675294.8705894258</v>
      </c>
      <c r="E995" s="790">
        <f t="shared" si="95"/>
        <v>482217.47878048779</v>
      </c>
      <c r="F995" s="790">
        <f t="shared" si="89"/>
        <v>7193077.3918089382</v>
      </c>
      <c r="G995" s="737">
        <f t="shared" si="94"/>
        <v>7434186.131199182</v>
      </c>
      <c r="H995" s="795">
        <f>+J964*G995+E995</f>
        <v>1309595.0255759065</v>
      </c>
      <c r="I995" s="796">
        <f>+J965*G995+E995</f>
        <v>1309595.0255759065</v>
      </c>
      <c r="J995" s="793">
        <f t="shared" si="96"/>
        <v>0</v>
      </c>
      <c r="K995" s="793"/>
      <c r="L995" s="813"/>
      <c r="M995" s="793">
        <f t="shared" si="90"/>
        <v>0</v>
      </c>
      <c r="N995" s="813"/>
      <c r="O995" s="793">
        <f t="shared" si="91"/>
        <v>0</v>
      </c>
      <c r="P995" s="793">
        <f t="shared" si="92"/>
        <v>0</v>
      </c>
    </row>
    <row r="996" spans="3:16">
      <c r="C996" s="789">
        <f>IF(D963="","-",+C995+1)</f>
        <v>2044</v>
      </c>
      <c r="D996" s="737">
        <f t="shared" si="93"/>
        <v>7193077.3918089382</v>
      </c>
      <c r="E996" s="790">
        <f t="shared" si="95"/>
        <v>482217.47878048779</v>
      </c>
      <c r="F996" s="790">
        <f t="shared" si="89"/>
        <v>6710859.9130284507</v>
      </c>
      <c r="G996" s="737">
        <f t="shared" si="94"/>
        <v>6951968.6524186945</v>
      </c>
      <c r="H996" s="795">
        <f>+J964*G996+E996</f>
        <v>1255927.2928107982</v>
      </c>
      <c r="I996" s="796">
        <f>+J965*G996+E996</f>
        <v>1255927.2928107982</v>
      </c>
      <c r="J996" s="793">
        <f t="shared" si="96"/>
        <v>0</v>
      </c>
      <c r="K996" s="793"/>
      <c r="L996" s="813"/>
      <c r="M996" s="793">
        <f t="shared" si="90"/>
        <v>0</v>
      </c>
      <c r="N996" s="813"/>
      <c r="O996" s="793">
        <f t="shared" si="91"/>
        <v>0</v>
      </c>
      <c r="P996" s="793">
        <f t="shared" si="92"/>
        <v>0</v>
      </c>
    </row>
    <row r="997" spans="3:16">
      <c r="C997" s="789">
        <f>IF(D963="","-",+C996+1)</f>
        <v>2045</v>
      </c>
      <c r="D997" s="737">
        <f t="shared" si="93"/>
        <v>6710859.9130284507</v>
      </c>
      <c r="E997" s="790">
        <f t="shared" si="95"/>
        <v>482217.47878048779</v>
      </c>
      <c r="F997" s="790">
        <f t="shared" si="89"/>
        <v>6228642.4342479631</v>
      </c>
      <c r="G997" s="737">
        <f t="shared" si="94"/>
        <v>6469751.1736382069</v>
      </c>
      <c r="H997" s="795">
        <f>+J964*G997+E997</f>
        <v>1202259.5600456898</v>
      </c>
      <c r="I997" s="796">
        <f>+J965*G997+E997</f>
        <v>1202259.5600456898</v>
      </c>
      <c r="J997" s="793">
        <f t="shared" si="96"/>
        <v>0</v>
      </c>
      <c r="K997" s="793"/>
      <c r="L997" s="813"/>
      <c r="M997" s="793">
        <f t="shared" si="90"/>
        <v>0</v>
      </c>
      <c r="N997" s="813"/>
      <c r="O997" s="793">
        <f t="shared" si="91"/>
        <v>0</v>
      </c>
      <c r="P997" s="793">
        <f t="shared" si="92"/>
        <v>0</v>
      </c>
    </row>
    <row r="998" spans="3:16">
      <c r="C998" s="789">
        <f>IF(D963="","-",+C997+1)</f>
        <v>2046</v>
      </c>
      <c r="D998" s="737">
        <f t="shared" si="93"/>
        <v>6228642.4342479631</v>
      </c>
      <c r="E998" s="790">
        <f t="shared" si="95"/>
        <v>482217.47878048779</v>
      </c>
      <c r="F998" s="790">
        <f t="shared" si="89"/>
        <v>5746424.9554674756</v>
      </c>
      <c r="G998" s="737">
        <f t="shared" si="94"/>
        <v>5987533.6948577194</v>
      </c>
      <c r="H998" s="795">
        <f>+J964*G998+E998</f>
        <v>1148591.8272805817</v>
      </c>
      <c r="I998" s="796">
        <f>+J965*G998+E998</f>
        <v>1148591.8272805817</v>
      </c>
      <c r="J998" s="793">
        <f t="shared" si="96"/>
        <v>0</v>
      </c>
      <c r="K998" s="793"/>
      <c r="L998" s="813"/>
      <c r="M998" s="793">
        <f t="shared" si="90"/>
        <v>0</v>
      </c>
      <c r="N998" s="813"/>
      <c r="O998" s="793">
        <f t="shared" si="91"/>
        <v>0</v>
      </c>
      <c r="P998" s="793">
        <f t="shared" si="92"/>
        <v>0</v>
      </c>
    </row>
    <row r="999" spans="3:16">
      <c r="C999" s="789">
        <f>IF(D963="","-",+C998+1)</f>
        <v>2047</v>
      </c>
      <c r="D999" s="737">
        <f t="shared" si="93"/>
        <v>5746424.9554674756</v>
      </c>
      <c r="E999" s="790">
        <f t="shared" si="95"/>
        <v>482217.47878048779</v>
      </c>
      <c r="F999" s="790">
        <f t="shared" si="89"/>
        <v>5264207.476686988</v>
      </c>
      <c r="G999" s="737">
        <f t="shared" si="94"/>
        <v>5505316.2160772318</v>
      </c>
      <c r="H999" s="795">
        <f>+J964*G999+E999</f>
        <v>1094924.0945154736</v>
      </c>
      <c r="I999" s="796">
        <f>+J965*G999+E999</f>
        <v>1094924.0945154736</v>
      </c>
      <c r="J999" s="793">
        <f t="shared" si="96"/>
        <v>0</v>
      </c>
      <c r="K999" s="793"/>
      <c r="L999" s="813"/>
      <c r="M999" s="793">
        <f t="shared" si="90"/>
        <v>0</v>
      </c>
      <c r="N999" s="813"/>
      <c r="O999" s="793">
        <f t="shared" si="91"/>
        <v>0</v>
      </c>
      <c r="P999" s="793">
        <f t="shared" si="92"/>
        <v>0</v>
      </c>
    </row>
    <row r="1000" spans="3:16">
      <c r="C1000" s="789">
        <f>IF(D963="","-",+C999+1)</f>
        <v>2048</v>
      </c>
      <c r="D1000" s="737">
        <f t="shared" si="93"/>
        <v>5264207.476686988</v>
      </c>
      <c r="E1000" s="790">
        <f t="shared" si="95"/>
        <v>482217.47878048779</v>
      </c>
      <c r="F1000" s="790">
        <f t="shared" si="89"/>
        <v>4781989.9979065005</v>
      </c>
      <c r="G1000" s="737">
        <f t="shared" si="94"/>
        <v>5023098.7372967442</v>
      </c>
      <c r="H1000" s="795">
        <f>+J964*G1000+E1000</f>
        <v>1041256.3617503652</v>
      </c>
      <c r="I1000" s="796">
        <f>+J965*G1000+E1000</f>
        <v>1041256.3617503652</v>
      </c>
      <c r="J1000" s="793">
        <f t="shared" si="96"/>
        <v>0</v>
      </c>
      <c r="K1000" s="793"/>
      <c r="L1000" s="813"/>
      <c r="M1000" s="793">
        <f t="shared" si="90"/>
        <v>0</v>
      </c>
      <c r="N1000" s="813"/>
      <c r="O1000" s="793">
        <f t="shared" si="91"/>
        <v>0</v>
      </c>
      <c r="P1000" s="793">
        <f t="shared" si="92"/>
        <v>0</v>
      </c>
    </row>
    <row r="1001" spans="3:16">
      <c r="C1001" s="789">
        <f>IF(D963="","-",+C1000+1)</f>
        <v>2049</v>
      </c>
      <c r="D1001" s="737">
        <f t="shared" si="93"/>
        <v>4781989.9979065005</v>
      </c>
      <c r="E1001" s="790">
        <f t="shared" si="95"/>
        <v>482217.47878048779</v>
      </c>
      <c r="F1001" s="790">
        <f t="shared" si="89"/>
        <v>4299772.5191260129</v>
      </c>
      <c r="G1001" s="737">
        <f t="shared" si="94"/>
        <v>4540881.2585162567</v>
      </c>
      <c r="H1001" s="795">
        <f>+J964*G1001+E1001</f>
        <v>987588.62898525689</v>
      </c>
      <c r="I1001" s="796">
        <f>+J965*G1001+E1001</f>
        <v>987588.62898525689</v>
      </c>
      <c r="J1001" s="793">
        <f t="shared" si="96"/>
        <v>0</v>
      </c>
      <c r="K1001" s="793"/>
      <c r="L1001" s="813"/>
      <c r="M1001" s="793">
        <f t="shared" si="90"/>
        <v>0</v>
      </c>
      <c r="N1001" s="813"/>
      <c r="O1001" s="793">
        <f t="shared" si="91"/>
        <v>0</v>
      </c>
      <c r="P1001" s="793">
        <f t="shared" si="92"/>
        <v>0</v>
      </c>
    </row>
    <row r="1002" spans="3:16">
      <c r="C1002" s="789">
        <f>IF(D963="","-",+C1001+1)</f>
        <v>2050</v>
      </c>
      <c r="D1002" s="737">
        <f t="shared" si="93"/>
        <v>4299772.5191260129</v>
      </c>
      <c r="E1002" s="790">
        <f t="shared" si="95"/>
        <v>482217.47878048779</v>
      </c>
      <c r="F1002" s="790">
        <f t="shared" si="89"/>
        <v>3817555.0403455254</v>
      </c>
      <c r="G1002" s="737">
        <f t="shared" si="94"/>
        <v>4058663.7797357691</v>
      </c>
      <c r="H1002" s="795">
        <f>+J964*G1002+E1002</f>
        <v>933920.89622014877</v>
      </c>
      <c r="I1002" s="796">
        <f>+J965*G1002+E1002</f>
        <v>933920.89622014877</v>
      </c>
      <c r="J1002" s="793">
        <f t="shared" si="96"/>
        <v>0</v>
      </c>
      <c r="K1002" s="793"/>
      <c r="L1002" s="813"/>
      <c r="M1002" s="793">
        <f t="shared" si="90"/>
        <v>0</v>
      </c>
      <c r="N1002" s="813"/>
      <c r="O1002" s="793">
        <f t="shared" si="91"/>
        <v>0</v>
      </c>
      <c r="P1002" s="793">
        <f t="shared" si="92"/>
        <v>0</v>
      </c>
    </row>
    <row r="1003" spans="3:16">
      <c r="C1003" s="789">
        <f>IF(D963="","-",+C1002+1)</f>
        <v>2051</v>
      </c>
      <c r="D1003" s="737">
        <f t="shared" si="93"/>
        <v>3817555.0403455254</v>
      </c>
      <c r="E1003" s="790">
        <f t="shared" si="95"/>
        <v>482217.47878048779</v>
      </c>
      <c r="F1003" s="790">
        <f t="shared" si="89"/>
        <v>3335337.5615650378</v>
      </c>
      <c r="G1003" s="737">
        <f t="shared" si="94"/>
        <v>3576446.3009552816</v>
      </c>
      <c r="H1003" s="795">
        <f>+J964*G1003+E1003</f>
        <v>880253.16345504043</v>
      </c>
      <c r="I1003" s="796">
        <f>+J965*G1003+E1003</f>
        <v>880253.16345504043</v>
      </c>
      <c r="J1003" s="793">
        <f t="shared" si="96"/>
        <v>0</v>
      </c>
      <c r="K1003" s="793"/>
      <c r="L1003" s="813"/>
      <c r="M1003" s="793">
        <f t="shared" si="90"/>
        <v>0</v>
      </c>
      <c r="N1003" s="813"/>
      <c r="O1003" s="793">
        <f t="shared" si="91"/>
        <v>0</v>
      </c>
      <c r="P1003" s="793">
        <f t="shared" si="92"/>
        <v>0</v>
      </c>
    </row>
    <row r="1004" spans="3:16">
      <c r="C1004" s="789">
        <f>IF(D963="","-",+C1003+1)</f>
        <v>2052</v>
      </c>
      <c r="D1004" s="737">
        <f t="shared" si="93"/>
        <v>3335337.5615650378</v>
      </c>
      <c r="E1004" s="790">
        <f t="shared" si="95"/>
        <v>482217.47878048779</v>
      </c>
      <c r="F1004" s="790">
        <f t="shared" si="89"/>
        <v>2853120.0827845503</v>
      </c>
      <c r="G1004" s="737">
        <f t="shared" si="94"/>
        <v>3094228.822174794</v>
      </c>
      <c r="H1004" s="795">
        <f>+J964*G1004+E1004</f>
        <v>826585.43068993231</v>
      </c>
      <c r="I1004" s="796">
        <f>+J965*G1004+E1004</f>
        <v>826585.43068993231</v>
      </c>
      <c r="J1004" s="793">
        <f t="shared" si="96"/>
        <v>0</v>
      </c>
      <c r="K1004" s="793"/>
      <c r="L1004" s="813"/>
      <c r="M1004" s="793">
        <f t="shared" si="90"/>
        <v>0</v>
      </c>
      <c r="N1004" s="813"/>
      <c r="O1004" s="793">
        <f t="shared" si="91"/>
        <v>0</v>
      </c>
      <c r="P1004" s="793">
        <f t="shared" si="92"/>
        <v>0</v>
      </c>
    </row>
    <row r="1005" spans="3:16">
      <c r="C1005" s="789">
        <f>IF(D963="","-",+C1004+1)</f>
        <v>2053</v>
      </c>
      <c r="D1005" s="737">
        <f t="shared" si="93"/>
        <v>2853120.0827845503</v>
      </c>
      <c r="E1005" s="790">
        <f t="shared" si="95"/>
        <v>482217.47878048779</v>
      </c>
      <c r="F1005" s="790">
        <f t="shared" si="89"/>
        <v>2370902.6040040627</v>
      </c>
      <c r="G1005" s="737">
        <f t="shared" si="94"/>
        <v>2612011.3433943065</v>
      </c>
      <c r="H1005" s="795">
        <f>+J964*G1005+E1005</f>
        <v>772917.69792482397</v>
      </c>
      <c r="I1005" s="796">
        <f>+J965*G1005+E1005</f>
        <v>772917.69792482397</v>
      </c>
      <c r="J1005" s="793">
        <f t="shared" si="96"/>
        <v>0</v>
      </c>
      <c r="K1005" s="793"/>
      <c r="L1005" s="813"/>
      <c r="M1005" s="793">
        <f t="shared" si="90"/>
        <v>0</v>
      </c>
      <c r="N1005" s="813"/>
      <c r="O1005" s="793">
        <f t="shared" si="91"/>
        <v>0</v>
      </c>
      <c r="P1005" s="793">
        <f t="shared" si="92"/>
        <v>0</v>
      </c>
    </row>
    <row r="1006" spans="3:16">
      <c r="C1006" s="789">
        <f>IF(D963="","-",+C1005+1)</f>
        <v>2054</v>
      </c>
      <c r="D1006" s="737">
        <f t="shared" si="93"/>
        <v>2370902.6040040627</v>
      </c>
      <c r="E1006" s="790">
        <f t="shared" si="95"/>
        <v>482217.47878048779</v>
      </c>
      <c r="F1006" s="790">
        <f t="shared" si="89"/>
        <v>1888685.1252235749</v>
      </c>
      <c r="G1006" s="737">
        <f t="shared" si="94"/>
        <v>2129793.8646138189</v>
      </c>
      <c r="H1006" s="795">
        <f>+J964*G1006+E1006</f>
        <v>719249.96515971574</v>
      </c>
      <c r="I1006" s="796">
        <f>+J965*G1006+E1006</f>
        <v>719249.96515971574</v>
      </c>
      <c r="J1006" s="793">
        <f t="shared" si="96"/>
        <v>0</v>
      </c>
      <c r="K1006" s="793"/>
      <c r="L1006" s="813"/>
      <c r="M1006" s="793">
        <f t="shared" si="90"/>
        <v>0</v>
      </c>
      <c r="N1006" s="813"/>
      <c r="O1006" s="793">
        <f t="shared" si="91"/>
        <v>0</v>
      </c>
      <c r="P1006" s="793">
        <f t="shared" si="92"/>
        <v>0</v>
      </c>
    </row>
    <row r="1007" spans="3:16">
      <c r="C1007" s="789">
        <f>IF(D963="","-",+C1006+1)</f>
        <v>2055</v>
      </c>
      <c r="D1007" s="737">
        <f t="shared" si="93"/>
        <v>1888685.1252235749</v>
      </c>
      <c r="E1007" s="790">
        <f t="shared" si="95"/>
        <v>482217.47878048779</v>
      </c>
      <c r="F1007" s="790">
        <f t="shared" si="89"/>
        <v>1406467.6464430871</v>
      </c>
      <c r="G1007" s="737">
        <f t="shared" si="94"/>
        <v>1647576.3858333309</v>
      </c>
      <c r="H1007" s="795">
        <f>+J964*G1007+E1007</f>
        <v>665582.2323946075</v>
      </c>
      <c r="I1007" s="796">
        <f>+J965*G1007+E1007</f>
        <v>665582.2323946075</v>
      </c>
      <c r="J1007" s="793">
        <f t="shared" si="96"/>
        <v>0</v>
      </c>
      <c r="K1007" s="793"/>
      <c r="L1007" s="813"/>
      <c r="M1007" s="793">
        <f t="shared" si="90"/>
        <v>0</v>
      </c>
      <c r="N1007" s="813"/>
      <c r="O1007" s="793">
        <f t="shared" si="91"/>
        <v>0</v>
      </c>
      <c r="P1007" s="793">
        <f t="shared" si="92"/>
        <v>0</v>
      </c>
    </row>
    <row r="1008" spans="3:16">
      <c r="C1008" s="789">
        <f>IF(D963="","-",+C1007+1)</f>
        <v>2056</v>
      </c>
      <c r="D1008" s="737">
        <f t="shared" si="93"/>
        <v>1406467.6464430871</v>
      </c>
      <c r="E1008" s="790">
        <f t="shared" si="95"/>
        <v>482217.47878048779</v>
      </c>
      <c r="F1008" s="790">
        <f t="shared" si="89"/>
        <v>924250.16766259936</v>
      </c>
      <c r="G1008" s="737">
        <f t="shared" si="94"/>
        <v>1165358.9070528434</v>
      </c>
      <c r="H1008" s="795">
        <f>+J964*G1008+E1008</f>
        <v>611914.49962949916</v>
      </c>
      <c r="I1008" s="796">
        <f>+J965*G1008+E1008</f>
        <v>611914.49962949916</v>
      </c>
      <c r="J1008" s="793">
        <f t="shared" si="96"/>
        <v>0</v>
      </c>
      <c r="K1008" s="793"/>
      <c r="L1008" s="813"/>
      <c r="M1008" s="793">
        <f t="shared" si="90"/>
        <v>0</v>
      </c>
      <c r="N1008" s="813"/>
      <c r="O1008" s="793">
        <f t="shared" si="91"/>
        <v>0</v>
      </c>
      <c r="P1008" s="793">
        <f t="shared" si="92"/>
        <v>0</v>
      </c>
    </row>
    <row r="1009" spans="3:16">
      <c r="C1009" s="789">
        <f>IF(D963="","-",+C1008+1)</f>
        <v>2057</v>
      </c>
      <c r="D1009" s="737">
        <f t="shared" si="93"/>
        <v>924250.16766259936</v>
      </c>
      <c r="E1009" s="790">
        <f t="shared" si="95"/>
        <v>482217.47878048779</v>
      </c>
      <c r="F1009" s="790">
        <f t="shared" si="89"/>
        <v>442032.68888211157</v>
      </c>
      <c r="G1009" s="737">
        <f t="shared" si="94"/>
        <v>683141.42827235546</v>
      </c>
      <c r="H1009" s="795">
        <f>+J964*G1009+E1009</f>
        <v>558246.76686439093</v>
      </c>
      <c r="I1009" s="796">
        <f>+J965*G1009+E1009</f>
        <v>558246.76686439093</v>
      </c>
      <c r="J1009" s="793">
        <f t="shared" si="96"/>
        <v>0</v>
      </c>
      <c r="K1009" s="793"/>
      <c r="L1009" s="813"/>
      <c r="M1009" s="793">
        <f t="shared" si="90"/>
        <v>0</v>
      </c>
      <c r="N1009" s="813"/>
      <c r="O1009" s="793">
        <f t="shared" si="91"/>
        <v>0</v>
      </c>
      <c r="P1009" s="793">
        <f t="shared" si="92"/>
        <v>0</v>
      </c>
    </row>
    <row r="1010" spans="3:16">
      <c r="C1010" s="789">
        <f>IF(D963="","-",+C1009+1)</f>
        <v>2058</v>
      </c>
      <c r="D1010" s="737">
        <f t="shared" si="93"/>
        <v>442032.68888211157</v>
      </c>
      <c r="E1010" s="790">
        <f t="shared" si="95"/>
        <v>442032.68888211157</v>
      </c>
      <c r="F1010" s="790">
        <f t="shared" si="89"/>
        <v>0</v>
      </c>
      <c r="G1010" s="737">
        <f t="shared" si="94"/>
        <v>221016.34444105579</v>
      </c>
      <c r="H1010" s="795">
        <f>+J964*G1010+E1010</f>
        <v>466630.39973278606</v>
      </c>
      <c r="I1010" s="796">
        <f>+J965*G1010+E1010</f>
        <v>466630.39973278606</v>
      </c>
      <c r="J1010" s="793">
        <f t="shared" si="96"/>
        <v>0</v>
      </c>
      <c r="K1010" s="793"/>
      <c r="L1010" s="813"/>
      <c r="M1010" s="793">
        <f t="shared" si="90"/>
        <v>0</v>
      </c>
      <c r="N1010" s="813"/>
      <c r="O1010" s="793">
        <f t="shared" si="91"/>
        <v>0</v>
      </c>
      <c r="P1010" s="793">
        <f t="shared" si="92"/>
        <v>0</v>
      </c>
    </row>
    <row r="1011" spans="3:16">
      <c r="C1011" s="789">
        <f>IF(D963="","-",+C1010+1)</f>
        <v>2059</v>
      </c>
      <c r="D1011" s="737">
        <f t="shared" si="93"/>
        <v>0</v>
      </c>
      <c r="E1011" s="790">
        <f t="shared" si="95"/>
        <v>0</v>
      </c>
      <c r="F1011" s="790">
        <f t="shared" si="89"/>
        <v>0</v>
      </c>
      <c r="G1011" s="737">
        <f t="shared" si="94"/>
        <v>0</v>
      </c>
      <c r="H1011" s="795">
        <f>+J964*G1011+E1011</f>
        <v>0</v>
      </c>
      <c r="I1011" s="796">
        <f>+J965*G1011+E1011</f>
        <v>0</v>
      </c>
      <c r="J1011" s="793">
        <f t="shared" si="96"/>
        <v>0</v>
      </c>
      <c r="K1011" s="793"/>
      <c r="L1011" s="813"/>
      <c r="M1011" s="793">
        <f t="shared" si="90"/>
        <v>0</v>
      </c>
      <c r="N1011" s="813"/>
      <c r="O1011" s="793">
        <f t="shared" si="91"/>
        <v>0</v>
      </c>
      <c r="P1011" s="793">
        <f t="shared" si="92"/>
        <v>0</v>
      </c>
    </row>
    <row r="1012" spans="3:16">
      <c r="C1012" s="789">
        <f>IF(D963="","-",+C1011+1)</f>
        <v>2060</v>
      </c>
      <c r="D1012" s="737">
        <f t="shared" si="93"/>
        <v>0</v>
      </c>
      <c r="E1012" s="790">
        <f t="shared" si="95"/>
        <v>0</v>
      </c>
      <c r="F1012" s="790">
        <f t="shared" si="89"/>
        <v>0</v>
      </c>
      <c r="G1012" s="737">
        <f t="shared" si="94"/>
        <v>0</v>
      </c>
      <c r="H1012" s="795">
        <f>+J964*G1012+E1012</f>
        <v>0</v>
      </c>
      <c r="I1012" s="796">
        <f>+J965*G1012+E1012</f>
        <v>0</v>
      </c>
      <c r="J1012" s="793">
        <f t="shared" si="96"/>
        <v>0</v>
      </c>
      <c r="K1012" s="793"/>
      <c r="L1012" s="813"/>
      <c r="M1012" s="793">
        <f t="shared" si="90"/>
        <v>0</v>
      </c>
      <c r="N1012" s="813"/>
      <c r="O1012" s="793">
        <f t="shared" si="91"/>
        <v>0</v>
      </c>
      <c r="P1012" s="793">
        <f t="shared" si="92"/>
        <v>0</v>
      </c>
    </row>
    <row r="1013" spans="3:16">
      <c r="C1013" s="789">
        <f>IF(D963="","-",+C1012+1)</f>
        <v>2061</v>
      </c>
      <c r="D1013" s="737">
        <f t="shared" si="93"/>
        <v>0</v>
      </c>
      <c r="E1013" s="790">
        <f t="shared" si="95"/>
        <v>0</v>
      </c>
      <c r="F1013" s="790">
        <f t="shared" si="89"/>
        <v>0</v>
      </c>
      <c r="G1013" s="737">
        <f t="shared" si="94"/>
        <v>0</v>
      </c>
      <c r="H1013" s="795">
        <f>+J964*G1013+E1013</f>
        <v>0</v>
      </c>
      <c r="I1013" s="796">
        <f>+J965*G1013+E1013</f>
        <v>0</v>
      </c>
      <c r="J1013" s="793">
        <f t="shared" si="96"/>
        <v>0</v>
      </c>
      <c r="K1013" s="793"/>
      <c r="L1013" s="813"/>
      <c r="M1013" s="793">
        <f t="shared" si="90"/>
        <v>0</v>
      </c>
      <c r="N1013" s="813"/>
      <c r="O1013" s="793">
        <f t="shared" si="91"/>
        <v>0</v>
      </c>
      <c r="P1013" s="793">
        <f t="shared" si="92"/>
        <v>0</v>
      </c>
    </row>
    <row r="1014" spans="3:16">
      <c r="C1014" s="789">
        <f>IF(D963="","-",+C1013+1)</f>
        <v>2062</v>
      </c>
      <c r="D1014" s="737">
        <f t="shared" si="93"/>
        <v>0</v>
      </c>
      <c r="E1014" s="790">
        <f t="shared" si="95"/>
        <v>0</v>
      </c>
      <c r="F1014" s="790">
        <f t="shared" si="89"/>
        <v>0</v>
      </c>
      <c r="G1014" s="737">
        <f t="shared" si="94"/>
        <v>0</v>
      </c>
      <c r="H1014" s="795">
        <f>+J964*G1014+E1014</f>
        <v>0</v>
      </c>
      <c r="I1014" s="796">
        <f>+J965*G1014+E1014</f>
        <v>0</v>
      </c>
      <c r="J1014" s="793">
        <f t="shared" si="96"/>
        <v>0</v>
      </c>
      <c r="K1014" s="793"/>
      <c r="L1014" s="813"/>
      <c r="M1014" s="793">
        <f t="shared" si="90"/>
        <v>0</v>
      </c>
      <c r="N1014" s="813"/>
      <c r="O1014" s="793">
        <f t="shared" si="91"/>
        <v>0</v>
      </c>
      <c r="P1014" s="793">
        <f t="shared" si="92"/>
        <v>0</v>
      </c>
    </row>
    <row r="1015" spans="3:16">
      <c r="C1015" s="789">
        <f>IF(D963="","-",+C1014+1)</f>
        <v>2063</v>
      </c>
      <c r="D1015" s="737">
        <f t="shared" si="93"/>
        <v>0</v>
      </c>
      <c r="E1015" s="790">
        <f t="shared" si="95"/>
        <v>0</v>
      </c>
      <c r="F1015" s="790">
        <f t="shared" si="89"/>
        <v>0</v>
      </c>
      <c r="G1015" s="737">
        <f t="shared" si="94"/>
        <v>0</v>
      </c>
      <c r="H1015" s="795">
        <f>+J964*G1015+E1015</f>
        <v>0</v>
      </c>
      <c r="I1015" s="796">
        <f>+J965*G1015+E1015</f>
        <v>0</v>
      </c>
      <c r="J1015" s="793">
        <f t="shared" si="96"/>
        <v>0</v>
      </c>
      <c r="K1015" s="793"/>
      <c r="L1015" s="813"/>
      <c r="M1015" s="793">
        <f t="shared" si="90"/>
        <v>0</v>
      </c>
      <c r="N1015" s="813"/>
      <c r="O1015" s="793">
        <f t="shared" si="91"/>
        <v>0</v>
      </c>
      <c r="P1015" s="793">
        <f t="shared" si="92"/>
        <v>0</v>
      </c>
    </row>
    <row r="1016" spans="3:16">
      <c r="C1016" s="789">
        <f>IF(D963="","-",+C1015+1)</f>
        <v>2064</v>
      </c>
      <c r="D1016" s="737">
        <f t="shared" si="93"/>
        <v>0</v>
      </c>
      <c r="E1016" s="790">
        <f t="shared" si="95"/>
        <v>0</v>
      </c>
      <c r="F1016" s="790">
        <f t="shared" si="89"/>
        <v>0</v>
      </c>
      <c r="G1016" s="737">
        <f t="shared" si="94"/>
        <v>0</v>
      </c>
      <c r="H1016" s="795">
        <f>+J964*G1016+E1016</f>
        <v>0</v>
      </c>
      <c r="I1016" s="796">
        <f>+J965*G1016+E1016</f>
        <v>0</v>
      </c>
      <c r="J1016" s="793">
        <f t="shared" si="96"/>
        <v>0</v>
      </c>
      <c r="K1016" s="793"/>
      <c r="L1016" s="813"/>
      <c r="M1016" s="793">
        <f t="shared" si="90"/>
        <v>0</v>
      </c>
      <c r="N1016" s="813"/>
      <c r="O1016" s="793">
        <f t="shared" si="91"/>
        <v>0</v>
      </c>
      <c r="P1016" s="793">
        <f t="shared" si="92"/>
        <v>0</v>
      </c>
    </row>
    <row r="1017" spans="3:16">
      <c r="C1017" s="789">
        <f>IF(D963="","-",+C1016+1)</f>
        <v>2065</v>
      </c>
      <c r="D1017" s="737">
        <f t="shared" si="93"/>
        <v>0</v>
      </c>
      <c r="E1017" s="790">
        <f t="shared" si="95"/>
        <v>0</v>
      </c>
      <c r="F1017" s="790">
        <f t="shared" si="89"/>
        <v>0</v>
      </c>
      <c r="G1017" s="737">
        <f t="shared" si="94"/>
        <v>0</v>
      </c>
      <c r="H1017" s="795">
        <f>+J964*G1017+E1017</f>
        <v>0</v>
      </c>
      <c r="I1017" s="796">
        <f>+J965*G1017+E1017</f>
        <v>0</v>
      </c>
      <c r="J1017" s="793">
        <f t="shared" si="96"/>
        <v>0</v>
      </c>
      <c r="K1017" s="793"/>
      <c r="L1017" s="813"/>
      <c r="M1017" s="793">
        <f t="shared" si="90"/>
        <v>0</v>
      </c>
      <c r="N1017" s="813"/>
      <c r="O1017" s="793">
        <f t="shared" si="91"/>
        <v>0</v>
      </c>
      <c r="P1017" s="793">
        <f t="shared" si="92"/>
        <v>0</v>
      </c>
    </row>
    <row r="1018" spans="3:16">
      <c r="C1018" s="789">
        <f>IF(D963="","-",+C1017+1)</f>
        <v>2066</v>
      </c>
      <c r="D1018" s="737">
        <f t="shared" si="93"/>
        <v>0</v>
      </c>
      <c r="E1018" s="790">
        <f t="shared" si="95"/>
        <v>0</v>
      </c>
      <c r="F1018" s="790">
        <f t="shared" si="89"/>
        <v>0</v>
      </c>
      <c r="G1018" s="737">
        <f t="shared" si="94"/>
        <v>0</v>
      </c>
      <c r="H1018" s="795">
        <f>+J964*G1018+E1018</f>
        <v>0</v>
      </c>
      <c r="I1018" s="796">
        <f>+J965*G1018+E1018</f>
        <v>0</v>
      </c>
      <c r="J1018" s="793">
        <f t="shared" si="96"/>
        <v>0</v>
      </c>
      <c r="K1018" s="793"/>
      <c r="L1018" s="813"/>
      <c r="M1018" s="793">
        <f t="shared" si="90"/>
        <v>0</v>
      </c>
      <c r="N1018" s="813"/>
      <c r="O1018" s="793">
        <f t="shared" si="91"/>
        <v>0</v>
      </c>
      <c r="P1018" s="793">
        <f t="shared" si="92"/>
        <v>0</v>
      </c>
    </row>
    <row r="1019" spans="3:16">
      <c r="C1019" s="789">
        <f>IF(D963="","-",+C1018+1)</f>
        <v>2067</v>
      </c>
      <c r="D1019" s="737">
        <f t="shared" si="93"/>
        <v>0</v>
      </c>
      <c r="E1019" s="790">
        <f t="shared" si="95"/>
        <v>0</v>
      </c>
      <c r="F1019" s="790">
        <f t="shared" si="89"/>
        <v>0</v>
      </c>
      <c r="G1019" s="737">
        <f t="shared" si="94"/>
        <v>0</v>
      </c>
      <c r="H1019" s="795">
        <f>+J964*G1019+E1019</f>
        <v>0</v>
      </c>
      <c r="I1019" s="796">
        <f>+J965*G1019+E1019</f>
        <v>0</v>
      </c>
      <c r="J1019" s="793">
        <f t="shared" si="96"/>
        <v>0</v>
      </c>
      <c r="K1019" s="793"/>
      <c r="L1019" s="813"/>
      <c r="M1019" s="793">
        <f t="shared" si="90"/>
        <v>0</v>
      </c>
      <c r="N1019" s="813"/>
      <c r="O1019" s="793">
        <f t="shared" si="91"/>
        <v>0</v>
      </c>
      <c r="P1019" s="793">
        <f t="shared" si="92"/>
        <v>0</v>
      </c>
    </row>
    <row r="1020" spans="3:16">
      <c r="C1020" s="789">
        <f>IF(D963="","-",+C1019+1)</f>
        <v>2068</v>
      </c>
      <c r="D1020" s="737">
        <f t="shared" si="93"/>
        <v>0</v>
      </c>
      <c r="E1020" s="790">
        <f t="shared" si="95"/>
        <v>0</v>
      </c>
      <c r="F1020" s="790">
        <f t="shared" si="89"/>
        <v>0</v>
      </c>
      <c r="G1020" s="737">
        <f t="shared" si="94"/>
        <v>0</v>
      </c>
      <c r="H1020" s="795">
        <f>+J964*G1020+E1020</f>
        <v>0</v>
      </c>
      <c r="I1020" s="796">
        <f>+J965*G1020+E1020</f>
        <v>0</v>
      </c>
      <c r="J1020" s="793">
        <f t="shared" si="96"/>
        <v>0</v>
      </c>
      <c r="K1020" s="793"/>
      <c r="L1020" s="813"/>
      <c r="M1020" s="793">
        <f t="shared" si="90"/>
        <v>0</v>
      </c>
      <c r="N1020" s="813"/>
      <c r="O1020" s="793">
        <f t="shared" si="91"/>
        <v>0</v>
      </c>
      <c r="P1020" s="793">
        <f t="shared" si="92"/>
        <v>0</v>
      </c>
    </row>
    <row r="1021" spans="3:16">
      <c r="C1021" s="789">
        <f>IF(D963="","-",+C1020+1)</f>
        <v>2069</v>
      </c>
      <c r="D1021" s="737">
        <f t="shared" si="93"/>
        <v>0</v>
      </c>
      <c r="E1021" s="790">
        <f t="shared" si="95"/>
        <v>0</v>
      </c>
      <c r="F1021" s="790">
        <f t="shared" si="89"/>
        <v>0</v>
      </c>
      <c r="G1021" s="737">
        <f t="shared" si="94"/>
        <v>0</v>
      </c>
      <c r="H1021" s="795">
        <f>+J964*G1021+E1021</f>
        <v>0</v>
      </c>
      <c r="I1021" s="796">
        <f>+J965*G1021+E1021</f>
        <v>0</v>
      </c>
      <c r="J1021" s="793">
        <f t="shared" si="96"/>
        <v>0</v>
      </c>
      <c r="K1021" s="793"/>
      <c r="L1021" s="813"/>
      <c r="M1021" s="793">
        <f t="shared" si="90"/>
        <v>0</v>
      </c>
      <c r="N1021" s="813"/>
      <c r="O1021" s="793">
        <f t="shared" si="91"/>
        <v>0</v>
      </c>
      <c r="P1021" s="793">
        <f t="shared" si="92"/>
        <v>0</v>
      </c>
    </row>
    <row r="1022" spans="3:16">
      <c r="C1022" s="789">
        <f>IF(D963="","-",+C1021+1)</f>
        <v>2070</v>
      </c>
      <c r="D1022" s="737">
        <f t="shared" si="93"/>
        <v>0</v>
      </c>
      <c r="E1022" s="790">
        <f t="shared" si="95"/>
        <v>0</v>
      </c>
      <c r="F1022" s="790">
        <f t="shared" si="89"/>
        <v>0</v>
      </c>
      <c r="G1022" s="737">
        <f t="shared" si="94"/>
        <v>0</v>
      </c>
      <c r="H1022" s="795">
        <f>+J964*G1022+E1022</f>
        <v>0</v>
      </c>
      <c r="I1022" s="796">
        <f>+J965*G1022+E1022</f>
        <v>0</v>
      </c>
      <c r="J1022" s="793">
        <f t="shared" si="96"/>
        <v>0</v>
      </c>
      <c r="K1022" s="793"/>
      <c r="L1022" s="813"/>
      <c r="M1022" s="793">
        <f t="shared" si="90"/>
        <v>0</v>
      </c>
      <c r="N1022" s="813"/>
      <c r="O1022" s="793">
        <f t="shared" si="91"/>
        <v>0</v>
      </c>
      <c r="P1022" s="793">
        <f t="shared" si="92"/>
        <v>0</v>
      </c>
    </row>
    <row r="1023" spans="3:16">
      <c r="C1023" s="789">
        <f>IF(D963="","-",+C1022+1)</f>
        <v>2071</v>
      </c>
      <c r="D1023" s="737">
        <f t="shared" ref="D1023:D1028" si="97">F1022</f>
        <v>0</v>
      </c>
      <c r="E1023" s="790">
        <f t="shared" si="95"/>
        <v>0</v>
      </c>
      <c r="F1023" s="790">
        <f t="shared" si="89"/>
        <v>0</v>
      </c>
      <c r="G1023" s="737">
        <f t="shared" si="94"/>
        <v>0</v>
      </c>
      <c r="H1023" s="795">
        <f>+J964*G1023+E1023</f>
        <v>0</v>
      </c>
      <c r="I1023" s="796">
        <f>+J965*G1023+E1023</f>
        <v>0</v>
      </c>
      <c r="J1023" s="793">
        <f t="shared" si="96"/>
        <v>0</v>
      </c>
      <c r="K1023" s="793"/>
      <c r="L1023" s="813"/>
      <c r="M1023" s="793">
        <f t="shared" si="90"/>
        <v>0</v>
      </c>
      <c r="N1023" s="813"/>
      <c r="O1023" s="793">
        <f t="shared" si="91"/>
        <v>0</v>
      </c>
      <c r="P1023" s="793">
        <f t="shared" si="92"/>
        <v>0</v>
      </c>
    </row>
    <row r="1024" spans="3:16">
      <c r="C1024" s="789">
        <f>IF(D963="","-",+C1023+1)</f>
        <v>2072</v>
      </c>
      <c r="D1024" s="737">
        <f t="shared" si="97"/>
        <v>0</v>
      </c>
      <c r="E1024" s="790">
        <f t="shared" si="95"/>
        <v>0</v>
      </c>
      <c r="F1024" s="790">
        <f t="shared" si="89"/>
        <v>0</v>
      </c>
      <c r="G1024" s="737">
        <f t="shared" si="94"/>
        <v>0</v>
      </c>
      <c r="H1024" s="795">
        <f>+J964*G1024+E1024</f>
        <v>0</v>
      </c>
      <c r="I1024" s="796">
        <f>+J965*G1024+E1024</f>
        <v>0</v>
      </c>
      <c r="J1024" s="793">
        <f t="shared" si="96"/>
        <v>0</v>
      </c>
      <c r="K1024" s="793"/>
      <c r="L1024" s="813"/>
      <c r="M1024" s="793">
        <f t="shared" si="90"/>
        <v>0</v>
      </c>
      <c r="N1024" s="813"/>
      <c r="O1024" s="793">
        <f t="shared" si="91"/>
        <v>0</v>
      </c>
      <c r="P1024" s="793">
        <f t="shared" si="92"/>
        <v>0</v>
      </c>
    </row>
    <row r="1025" spans="3:16">
      <c r="C1025" s="789">
        <f>IF(D963="","-",+C1024+1)</f>
        <v>2073</v>
      </c>
      <c r="D1025" s="737">
        <f t="shared" si="97"/>
        <v>0</v>
      </c>
      <c r="E1025" s="790">
        <f t="shared" si="95"/>
        <v>0</v>
      </c>
      <c r="F1025" s="790">
        <f t="shared" si="89"/>
        <v>0</v>
      </c>
      <c r="G1025" s="737">
        <f t="shared" si="94"/>
        <v>0</v>
      </c>
      <c r="H1025" s="795">
        <f>+J964*G1025+E1025</f>
        <v>0</v>
      </c>
      <c r="I1025" s="796">
        <f>+J965*G1025+E1025</f>
        <v>0</v>
      </c>
      <c r="J1025" s="793">
        <f t="shared" si="96"/>
        <v>0</v>
      </c>
      <c r="K1025" s="793"/>
      <c r="L1025" s="813"/>
      <c r="M1025" s="793">
        <f t="shared" si="90"/>
        <v>0</v>
      </c>
      <c r="N1025" s="813"/>
      <c r="O1025" s="793">
        <f t="shared" si="91"/>
        <v>0</v>
      </c>
      <c r="P1025" s="793">
        <f t="shared" si="92"/>
        <v>0</v>
      </c>
    </row>
    <row r="1026" spans="3:16">
      <c r="C1026" s="789">
        <f>IF(D963="","-",+C1025+1)</f>
        <v>2074</v>
      </c>
      <c r="D1026" s="737">
        <f t="shared" si="97"/>
        <v>0</v>
      </c>
      <c r="E1026" s="790">
        <f t="shared" si="95"/>
        <v>0</v>
      </c>
      <c r="F1026" s="790">
        <f t="shared" si="89"/>
        <v>0</v>
      </c>
      <c r="G1026" s="737">
        <f t="shared" si="94"/>
        <v>0</v>
      </c>
      <c r="H1026" s="795">
        <f>+J964*G1026+E1026</f>
        <v>0</v>
      </c>
      <c r="I1026" s="796">
        <f>+J965*G1026+E1026</f>
        <v>0</v>
      </c>
      <c r="J1026" s="793">
        <f t="shared" si="96"/>
        <v>0</v>
      </c>
      <c r="K1026" s="793"/>
      <c r="L1026" s="813"/>
      <c r="M1026" s="793">
        <f t="shared" si="90"/>
        <v>0</v>
      </c>
      <c r="N1026" s="813"/>
      <c r="O1026" s="793">
        <f t="shared" si="91"/>
        <v>0</v>
      </c>
      <c r="P1026" s="793">
        <f t="shared" si="92"/>
        <v>0</v>
      </c>
    </row>
    <row r="1027" spans="3:16">
      <c r="C1027" s="789">
        <f>IF(D963="","-",+C1026+1)</f>
        <v>2075</v>
      </c>
      <c r="D1027" s="737">
        <f t="shared" si="97"/>
        <v>0</v>
      </c>
      <c r="E1027" s="790">
        <f t="shared" si="95"/>
        <v>0</v>
      </c>
      <c r="F1027" s="790">
        <f t="shared" si="89"/>
        <v>0</v>
      </c>
      <c r="G1027" s="737">
        <f t="shared" si="94"/>
        <v>0</v>
      </c>
      <c r="H1027" s="795">
        <f>+J964*G1027+E1027</f>
        <v>0</v>
      </c>
      <c r="I1027" s="796">
        <f>+J965*G1027+E1027</f>
        <v>0</v>
      </c>
      <c r="J1027" s="793">
        <f t="shared" si="96"/>
        <v>0</v>
      </c>
      <c r="K1027" s="793"/>
      <c r="L1027" s="813"/>
      <c r="M1027" s="793">
        <f t="shared" si="90"/>
        <v>0</v>
      </c>
      <c r="N1027" s="813"/>
      <c r="O1027" s="793">
        <f t="shared" si="91"/>
        <v>0</v>
      </c>
      <c r="P1027" s="793">
        <f t="shared" si="92"/>
        <v>0</v>
      </c>
    </row>
    <row r="1028" spans="3:16" ht="13.5" thickBot="1">
      <c r="C1028" s="799">
        <f>IF(D963="","-",+C1027+1)</f>
        <v>2076</v>
      </c>
      <c r="D1028" s="800">
        <f t="shared" si="97"/>
        <v>0</v>
      </c>
      <c r="E1028" s="801">
        <f t="shared" si="95"/>
        <v>0</v>
      </c>
      <c r="F1028" s="801">
        <f t="shared" si="89"/>
        <v>0</v>
      </c>
      <c r="G1028" s="800">
        <f t="shared" si="94"/>
        <v>0</v>
      </c>
      <c r="H1028" s="802">
        <f>+J964*G1028+E1028</f>
        <v>0</v>
      </c>
      <c r="I1028" s="802">
        <f>+J965*G1028+E1028</f>
        <v>0</v>
      </c>
      <c r="J1028" s="803">
        <f t="shared" si="96"/>
        <v>0</v>
      </c>
      <c r="K1028" s="793"/>
      <c r="L1028" s="814"/>
      <c r="M1028" s="803">
        <f t="shared" si="90"/>
        <v>0</v>
      </c>
      <c r="N1028" s="814"/>
      <c r="O1028" s="803">
        <f t="shared" si="91"/>
        <v>0</v>
      </c>
      <c r="P1028" s="803">
        <f t="shared" si="92"/>
        <v>0</v>
      </c>
    </row>
    <row r="1029" spans="3:16">
      <c r="C1029" s="737" t="s">
        <v>83</v>
      </c>
      <c r="D1029" s="731"/>
      <c r="E1029" s="731">
        <f>SUM(E969:E1028)</f>
        <v>19770916.629999999</v>
      </c>
      <c r="F1029" s="731"/>
      <c r="G1029" s="731"/>
      <c r="H1029" s="731">
        <f>SUM(H969:H1028)</f>
        <v>66895658.308828786</v>
      </c>
      <c r="I1029" s="731">
        <f>SUM(I969:I1028)</f>
        <v>66895658.308828786</v>
      </c>
      <c r="J1029" s="731">
        <f>SUM(J969:J1028)</f>
        <v>0</v>
      </c>
      <c r="K1029" s="731"/>
      <c r="L1029" s="731"/>
      <c r="M1029" s="731"/>
      <c r="N1029" s="731"/>
      <c r="O1029" s="731"/>
    </row>
    <row r="1030" spans="3:16">
      <c r="D1030" s="539"/>
      <c r="E1030" s="314"/>
      <c r="F1030" s="314"/>
      <c r="G1030" s="314"/>
      <c r="H1030" s="314"/>
      <c r="I1030" s="709"/>
      <c r="J1030" s="709"/>
      <c r="K1030" s="731"/>
      <c r="L1030" s="709"/>
      <c r="M1030" s="709"/>
      <c r="N1030" s="709"/>
      <c r="O1030" s="709"/>
    </row>
    <row r="1031" spans="3:16">
      <c r="C1031" s="314" t="s">
        <v>13</v>
      </c>
      <c r="D1031" s="539"/>
      <c r="E1031" s="314"/>
      <c r="F1031" s="314"/>
      <c r="G1031" s="314"/>
      <c r="H1031" s="314"/>
      <c r="I1031" s="709"/>
      <c r="J1031" s="709"/>
      <c r="K1031" s="731"/>
      <c r="L1031" s="709"/>
      <c r="M1031" s="709"/>
      <c r="N1031" s="709"/>
      <c r="O1031" s="709"/>
    </row>
    <row r="1032" spans="3:16">
      <c r="C1032" s="314"/>
      <c r="D1032" s="539"/>
      <c r="E1032" s="314"/>
      <c r="F1032" s="314"/>
      <c r="G1032" s="314"/>
      <c r="H1032" s="314"/>
      <c r="I1032" s="709"/>
      <c r="J1032" s="709"/>
      <c r="K1032" s="731"/>
      <c r="L1032" s="709"/>
      <c r="M1032" s="709"/>
      <c r="N1032" s="709"/>
      <c r="O1032" s="709"/>
    </row>
    <row r="1033" spans="3:16">
      <c r="C1033" s="750" t="s">
        <v>14</v>
      </c>
      <c r="D1033" s="737"/>
      <c r="E1033" s="737"/>
      <c r="F1033" s="737"/>
      <c r="G1033" s="737"/>
      <c r="H1033" s="731"/>
      <c r="I1033" s="731"/>
      <c r="J1033" s="805"/>
      <c r="K1033" s="805"/>
      <c r="L1033" s="805"/>
      <c r="M1033" s="805"/>
      <c r="N1033" s="805"/>
      <c r="O1033" s="805"/>
    </row>
    <row r="1034" spans="3:16">
      <c r="C1034" s="736" t="s">
        <v>263</v>
      </c>
      <c r="D1034" s="737"/>
      <c r="E1034" s="737"/>
      <c r="F1034" s="737"/>
      <c r="G1034" s="737"/>
      <c r="H1034" s="731"/>
      <c r="I1034" s="731"/>
      <c r="J1034" s="805"/>
      <c r="K1034" s="805"/>
      <c r="L1034" s="805"/>
      <c r="M1034" s="805"/>
      <c r="N1034" s="805"/>
      <c r="O1034" s="805"/>
    </row>
    <row r="1035" spans="3:16">
      <c r="C1035" s="736" t="s">
        <v>84</v>
      </c>
      <c r="D1035" s="737"/>
      <c r="E1035" s="737"/>
      <c r="F1035" s="737"/>
      <c r="G1035" s="737"/>
      <c r="H1035" s="731"/>
      <c r="I1035" s="731"/>
      <c r="J1035" s="805"/>
      <c r="K1035" s="805"/>
      <c r="L1035" s="805"/>
      <c r="M1035" s="805"/>
      <c r="N1035" s="805"/>
      <c r="O1035" s="805"/>
    </row>
  </sheetData>
  <mergeCells count="31">
    <mergeCell ref="L962:O962"/>
    <mergeCell ref="D349:I350"/>
    <mergeCell ref="L614:O614"/>
    <mergeCell ref="D697:I697"/>
    <mergeCell ref="L701:O701"/>
    <mergeCell ref="L527:O527"/>
    <mergeCell ref="D871:I871"/>
    <mergeCell ref="D958:I958"/>
    <mergeCell ref="L875:O875"/>
    <mergeCell ref="D610:I610"/>
    <mergeCell ref="J77:P80"/>
    <mergeCell ref="D89:I89"/>
    <mergeCell ref="L788:O788"/>
    <mergeCell ref="L179:O179"/>
    <mergeCell ref="D523:I523"/>
    <mergeCell ref="L266:O266"/>
    <mergeCell ref="D175:I175"/>
    <mergeCell ref="L440:O440"/>
    <mergeCell ref="L93:O93"/>
    <mergeCell ref="D784:I784"/>
    <mergeCell ref="L353:O353"/>
    <mergeCell ref="D436:I436"/>
    <mergeCell ref="D262:I262"/>
    <mergeCell ref="C51:D52"/>
    <mergeCell ref="C60:D61"/>
    <mergeCell ref="C71:D72"/>
    <mergeCell ref="A3:P3"/>
    <mergeCell ref="C11:I12"/>
    <mergeCell ref="A4:P4"/>
    <mergeCell ref="A5:P5"/>
    <mergeCell ref="A6:P6"/>
  </mergeCells>
  <phoneticPr fontId="0" type="noConversion"/>
  <conditionalFormatting sqref="C100:C159">
    <cfRule type="cellIs" dxfId="14" priority="21" stopIfTrue="1" operator="equal">
      <formula>$J$92</formula>
    </cfRule>
  </conditionalFormatting>
  <conditionalFormatting sqref="C186:C245">
    <cfRule type="cellIs" dxfId="13" priority="10" stopIfTrue="1" operator="equal">
      <formula>$J$92</formula>
    </cfRule>
  </conditionalFormatting>
  <conditionalFormatting sqref="C273:C332">
    <cfRule type="cellIs" dxfId="12" priority="9" stopIfTrue="1" operator="equal">
      <formula>$J$92</formula>
    </cfRule>
  </conditionalFormatting>
  <conditionalFormatting sqref="C360:C419">
    <cfRule type="cellIs" dxfId="11" priority="8" stopIfTrue="1" operator="equal">
      <formula>$J$92</formula>
    </cfRule>
  </conditionalFormatting>
  <conditionalFormatting sqref="C447:C506">
    <cfRule type="cellIs" dxfId="10" priority="7" stopIfTrue="1" operator="equal">
      <formula>$J$92</formula>
    </cfRule>
  </conditionalFormatting>
  <conditionalFormatting sqref="C534:C593">
    <cfRule type="cellIs" dxfId="9" priority="6" stopIfTrue="1" operator="equal">
      <formula>$J$92</formula>
    </cfRule>
  </conditionalFormatting>
  <conditionalFormatting sqref="C621:C680">
    <cfRule type="cellIs" dxfId="8" priority="5" stopIfTrue="1" operator="equal">
      <formula>$J$92</formula>
    </cfRule>
  </conditionalFormatting>
  <conditionalFormatting sqref="C708:C767">
    <cfRule type="cellIs" dxfId="7" priority="4" stopIfTrue="1" operator="equal">
      <formula>$J$92</formula>
    </cfRule>
  </conditionalFormatting>
  <conditionalFormatting sqref="C795:C854">
    <cfRule type="cellIs" dxfId="6" priority="3" stopIfTrue="1" operator="equal">
      <formula>$J$92</formula>
    </cfRule>
  </conditionalFormatting>
  <conditionalFormatting sqref="C882:C941">
    <cfRule type="cellIs" dxfId="5" priority="2" stopIfTrue="1" operator="equal">
      <formula>$J$92</formula>
    </cfRule>
  </conditionalFormatting>
  <conditionalFormatting sqref="C969:C1028">
    <cfRule type="cellIs" dxfId="4" priority="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1" manualBreakCount="11">
    <brk id="80" max="15" man="1"/>
    <brk id="166" max="15" man="1"/>
    <brk id="253" max="15" man="1"/>
    <brk id="340" max="15" man="1"/>
    <brk id="427" max="15" man="1"/>
    <brk id="514" max="15" man="1"/>
    <brk id="601" max="15" man="1"/>
    <brk id="688" max="15" man="1"/>
    <brk id="775" max="15" man="1"/>
    <brk id="862" max="15" man="1"/>
    <brk id="949"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E10"/>
  <sheetViews>
    <sheetView view="pageBreakPreview" zoomScale="60" zoomScaleNormal="100"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8" t="s">
        <v>408</v>
      </c>
    </row>
    <row r="2" spans="1:5" ht="15.75">
      <c r="A2" s="1008" t="s">
        <v>408</v>
      </c>
    </row>
    <row r="3" spans="1:5" ht="15">
      <c r="B3" s="1518" t="str">
        <f>TCOS!$F$5</f>
        <v>AEPTCo subsidiaries in PJM</v>
      </c>
      <c r="C3" s="1518" t="str">
        <f>TCOS!$F$5</f>
        <v>AEPTCo subsidiaries in PJM</v>
      </c>
      <c r="D3" s="1518" t="str">
        <f>TCOS!$F$5</f>
        <v>AEPTCo subsidiaries in PJM</v>
      </c>
      <c r="E3" s="1518" t="str">
        <f>TCOS!$F$5</f>
        <v>AEPTCo subsidiaries in PJM</v>
      </c>
    </row>
    <row r="4" spans="1:5" ht="15">
      <c r="B4" s="1511" t="str">
        <f>"Cost of Service Formula Rate Using Actual/Projected FF1 Balances"</f>
        <v>Cost of Service Formula Rate Using Actual/Projected FF1 Balances</v>
      </c>
      <c r="C4" s="1511"/>
      <c r="D4" s="1511"/>
      <c r="E4" s="1511"/>
    </row>
    <row r="5" spans="1:5" ht="15">
      <c r="B5" s="1518" t="s">
        <v>591</v>
      </c>
      <c r="C5" s="1518"/>
      <c r="D5" s="1518"/>
      <c r="E5" s="1518"/>
    </row>
    <row r="6" spans="1:5" ht="15">
      <c r="B6" s="1521" t="str">
        <f>+TCOS!F9</f>
        <v>West Virginia Transmission Company</v>
      </c>
      <c r="C6" s="1518"/>
      <c r="D6" s="1518"/>
      <c r="E6" s="1518"/>
    </row>
    <row r="8" spans="1:5" ht="18.75" customHeight="1">
      <c r="B8" s="8" t="s">
        <v>408</v>
      </c>
      <c r="C8" s="76"/>
      <c r="D8" s="91"/>
    </row>
    <row r="9" spans="1:5">
      <c r="B9" s="90"/>
      <c r="C9" s="76"/>
      <c r="D9" s="91"/>
    </row>
    <row r="10" spans="1:5">
      <c r="B10" s="92" t="s">
        <v>555</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10" zoomScale="90" zoomScaleNormal="90" zoomScaleSheetLayoutView="70" workbookViewId="0">
      <selection activeCell="C41" sqref="C41:G41"/>
    </sheetView>
  </sheetViews>
  <sheetFormatPr defaultColWidth="11.42578125" defaultRowHeight="12.75"/>
  <cols>
    <col min="1" max="1" width="10.28515625" style="1124"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510" t="str">
        <f>TCOS!F5</f>
        <v>AEPTCo subsidiaries in PJM</v>
      </c>
      <c r="B1" s="1510" t="s">
        <v>321</v>
      </c>
      <c r="C1" s="1510" t="s">
        <v>321</v>
      </c>
      <c r="D1" s="1510" t="s">
        <v>321</v>
      </c>
      <c r="E1" s="1510" t="s">
        <v>321</v>
      </c>
      <c r="F1" s="1510" t="s">
        <v>321</v>
      </c>
      <c r="G1" s="1510" t="s">
        <v>321</v>
      </c>
      <c r="H1" s="1077"/>
      <c r="I1" s="1077"/>
    </row>
    <row r="2" spans="1:12" ht="15">
      <c r="A2" s="1511" t="str">
        <f>"Cost of Service Formula Rate Using Actual/Projected FF1 Balances"</f>
        <v>Cost of Service Formula Rate Using Actual/Projected FF1 Balances</v>
      </c>
      <c r="B2" s="1511"/>
      <c r="C2" s="1511"/>
      <c r="D2" s="1511"/>
      <c r="E2" s="1511"/>
      <c r="F2" s="1511"/>
      <c r="G2" s="1511"/>
      <c r="H2" s="1077"/>
      <c r="I2" s="1077"/>
      <c r="J2" s="1077"/>
      <c r="L2" s="1079"/>
    </row>
    <row r="3" spans="1:12" ht="15">
      <c r="A3" s="1511" t="s">
        <v>701</v>
      </c>
      <c r="B3" s="1511"/>
      <c r="C3" s="1511"/>
      <c r="D3" s="1511"/>
      <c r="E3" s="1511"/>
      <c r="F3" s="1511"/>
      <c r="G3" s="1511"/>
      <c r="H3" s="1077"/>
      <c r="I3" s="1077"/>
      <c r="J3" s="1077"/>
    </row>
    <row r="4" spans="1:12" ht="15">
      <c r="A4" s="1517" t="str">
        <f>TCOS!F9</f>
        <v>West Virginia Transmission Company</v>
      </c>
      <c r="B4" s="1517"/>
      <c r="C4" s="1517"/>
      <c r="D4" s="1517"/>
      <c r="E4" s="1517"/>
      <c r="F4" s="1517"/>
      <c r="G4" s="1517"/>
      <c r="H4" s="1077"/>
      <c r="I4" s="1077"/>
      <c r="J4" s="1077"/>
    </row>
    <row r="5" spans="1:12">
      <c r="A5" s="1077"/>
      <c r="B5" s="1080"/>
      <c r="C5" s="1080"/>
      <c r="D5" s="1080"/>
      <c r="E5" s="1081"/>
      <c r="F5" s="1082"/>
      <c r="H5" s="1082"/>
      <c r="J5" s="1082"/>
      <c r="L5" s="1082"/>
    </row>
    <row r="6" spans="1:12" ht="12.75" customHeight="1">
      <c r="A6" s="1077"/>
      <c r="B6" s="1080"/>
      <c r="C6" s="1512" t="s">
        <v>702</v>
      </c>
      <c r="D6" s="1513"/>
      <c r="E6" s="1513"/>
      <c r="F6" s="1513"/>
      <c r="G6" s="1514"/>
      <c r="H6" s="1083"/>
      <c r="I6" s="1083"/>
      <c r="J6" s="1083"/>
      <c r="K6" s="1083"/>
      <c r="L6" s="4"/>
    </row>
    <row r="7" spans="1:12" s="1088" customFormat="1" ht="25.5">
      <c r="A7" s="1084" t="s">
        <v>703</v>
      </c>
      <c r="B7" s="1085" t="s">
        <v>704</v>
      </c>
      <c r="C7" s="1086" t="s">
        <v>409</v>
      </c>
      <c r="D7" s="1086" t="s">
        <v>705</v>
      </c>
      <c r="E7" s="1086" t="s">
        <v>128</v>
      </c>
      <c r="F7" s="1086" t="s">
        <v>706</v>
      </c>
      <c r="G7" s="1085" t="s">
        <v>707</v>
      </c>
      <c r="H7" s="7"/>
      <c r="I7" s="1087"/>
      <c r="J7" s="1087"/>
      <c r="K7" s="1087"/>
      <c r="L7" s="4"/>
    </row>
    <row r="8" spans="1:12" s="1093" customFormat="1">
      <c r="A8" s="1089"/>
      <c r="B8" s="1090" t="s">
        <v>708</v>
      </c>
      <c r="C8" s="1091" t="s">
        <v>709</v>
      </c>
      <c r="D8" s="1091" t="s">
        <v>710</v>
      </c>
      <c r="E8" s="1091" t="s">
        <v>711</v>
      </c>
      <c r="F8" s="1091" t="s">
        <v>712</v>
      </c>
      <c r="G8" s="1092" t="s">
        <v>713</v>
      </c>
      <c r="H8"/>
      <c r="L8" s="4"/>
    </row>
    <row r="9" spans="1:12" s="1093" customFormat="1" ht="44.25" customHeight="1">
      <c r="A9" s="1089"/>
      <c r="B9" s="1090" t="s">
        <v>714</v>
      </c>
      <c r="C9" s="1094" t="s">
        <v>223</v>
      </c>
      <c r="D9" s="1094" t="s">
        <v>224</v>
      </c>
      <c r="E9" s="1094" t="s">
        <v>225</v>
      </c>
      <c r="F9" s="1094" t="s">
        <v>226</v>
      </c>
      <c r="G9" s="1095" t="s">
        <v>227</v>
      </c>
      <c r="H9"/>
      <c r="L9" s="4"/>
    </row>
    <row r="10" spans="1:12">
      <c r="A10" s="1089">
        <v>1</v>
      </c>
      <c r="B10" s="1096" t="s">
        <v>715</v>
      </c>
      <c r="C10" s="1176">
        <v>1732316935.53</v>
      </c>
      <c r="D10" s="1176">
        <v>0</v>
      </c>
      <c r="E10" s="1176">
        <v>51301380.540000007</v>
      </c>
      <c r="F10" s="1176">
        <v>0</v>
      </c>
      <c r="G10" s="1481">
        <v>19523647.920000002</v>
      </c>
      <c r="H10"/>
      <c r="L10" s="4"/>
    </row>
    <row r="11" spans="1:12">
      <c r="A11" s="1089">
        <f>+A10+1</f>
        <v>2</v>
      </c>
      <c r="B11" s="1096" t="s">
        <v>568</v>
      </c>
      <c r="C11" s="1176">
        <v>1742472987.4499996</v>
      </c>
      <c r="D11" s="1176">
        <v>0</v>
      </c>
      <c r="E11" s="1176">
        <v>51349701.429999992</v>
      </c>
      <c r="F11" s="1176">
        <v>0</v>
      </c>
      <c r="G11" s="1482">
        <v>19799455.950000003</v>
      </c>
      <c r="H11"/>
      <c r="L11" s="4"/>
    </row>
    <row r="12" spans="1:12">
      <c r="A12" s="1089">
        <f t="shared" ref="A12:A23" si="0">+A11+1</f>
        <v>3</v>
      </c>
      <c r="B12" s="1097" t="s">
        <v>569</v>
      </c>
      <c r="C12" s="1176">
        <v>1744094084.5000005</v>
      </c>
      <c r="D12" s="1176">
        <v>0</v>
      </c>
      <c r="E12" s="1176">
        <v>49118294.020000003</v>
      </c>
      <c r="F12" s="1176">
        <v>0</v>
      </c>
      <c r="G12" s="1482">
        <v>19899841.580000002</v>
      </c>
      <c r="H12"/>
      <c r="L12" s="4"/>
    </row>
    <row r="13" spans="1:12">
      <c r="A13" s="1089">
        <f t="shared" si="0"/>
        <v>4</v>
      </c>
      <c r="B13" s="1097" t="s">
        <v>716</v>
      </c>
      <c r="C13" s="1176">
        <v>1764002507.8600001</v>
      </c>
      <c r="D13" s="1176">
        <v>0</v>
      </c>
      <c r="E13" s="1176">
        <v>49323298.999999993</v>
      </c>
      <c r="F13" s="1176">
        <v>0</v>
      </c>
      <c r="G13" s="1482">
        <v>19839063.34</v>
      </c>
      <c r="H13"/>
      <c r="L13" s="4"/>
    </row>
    <row r="14" spans="1:12">
      <c r="A14" s="1089">
        <f t="shared" si="0"/>
        <v>5</v>
      </c>
      <c r="B14" s="1097" t="s">
        <v>571</v>
      </c>
      <c r="C14" s="1176">
        <v>1823930129.3399994</v>
      </c>
      <c r="D14" s="1176">
        <v>0</v>
      </c>
      <c r="E14" s="1176">
        <v>49420665.760000005</v>
      </c>
      <c r="F14" s="1176">
        <v>0</v>
      </c>
      <c r="G14" s="1482">
        <v>20087436.969999999</v>
      </c>
      <c r="H14"/>
      <c r="L14" s="4"/>
    </row>
    <row r="15" spans="1:12">
      <c r="A15" s="1089">
        <f t="shared" si="0"/>
        <v>6</v>
      </c>
      <c r="B15" s="1097" t="s">
        <v>572</v>
      </c>
      <c r="C15" s="1176">
        <v>1834426886.6399999</v>
      </c>
      <c r="D15" s="1176">
        <v>0</v>
      </c>
      <c r="E15" s="1176">
        <v>49489482.859999999</v>
      </c>
      <c r="F15" s="1176">
        <v>0</v>
      </c>
      <c r="G15" s="1482">
        <v>20255735.649999999</v>
      </c>
      <c r="H15"/>
      <c r="L15" s="4"/>
    </row>
    <row r="16" spans="1:12">
      <c r="A16" s="1089">
        <f t="shared" si="0"/>
        <v>7</v>
      </c>
      <c r="B16" s="1097" t="s">
        <v>573</v>
      </c>
      <c r="C16" s="1176">
        <v>1837540075</v>
      </c>
      <c r="D16" s="1176">
        <v>0</v>
      </c>
      <c r="E16" s="1176">
        <v>49966475.870000005</v>
      </c>
      <c r="F16" s="1176">
        <v>0</v>
      </c>
      <c r="G16" s="1482">
        <v>19942790.82</v>
      </c>
      <c r="H16"/>
      <c r="L16" s="4"/>
    </row>
    <row r="17" spans="1:12">
      <c r="A17" s="1089">
        <f t="shared" si="0"/>
        <v>8</v>
      </c>
      <c r="B17" s="1097" t="s">
        <v>574</v>
      </c>
      <c r="C17" s="1176">
        <v>1865006310.9099998</v>
      </c>
      <c r="D17" s="1176">
        <v>0</v>
      </c>
      <c r="E17" s="1176">
        <v>52622158.140000008</v>
      </c>
      <c r="F17" s="1176">
        <v>0</v>
      </c>
      <c r="G17" s="1482">
        <v>20721350.779999997</v>
      </c>
      <c r="H17"/>
      <c r="L17" s="4"/>
    </row>
    <row r="18" spans="1:12">
      <c r="A18" s="1089">
        <f t="shared" si="0"/>
        <v>9</v>
      </c>
      <c r="B18" s="1097" t="s">
        <v>717</v>
      </c>
      <c r="C18" s="1176">
        <v>1991370090.6200001</v>
      </c>
      <c r="D18" s="1176">
        <v>0</v>
      </c>
      <c r="E18" s="1176">
        <v>52797144.75</v>
      </c>
      <c r="F18" s="1176">
        <v>0</v>
      </c>
      <c r="G18" s="1482">
        <v>21002905.129999999</v>
      </c>
      <c r="H18"/>
      <c r="L18" s="4"/>
    </row>
    <row r="19" spans="1:12">
      <c r="A19" s="1089">
        <f t="shared" si="0"/>
        <v>10</v>
      </c>
      <c r="B19" s="1097" t="s">
        <v>576</v>
      </c>
      <c r="C19" s="1176">
        <v>1996228104.9400001</v>
      </c>
      <c r="D19" s="1176">
        <v>0</v>
      </c>
      <c r="E19" s="1176">
        <v>52968962.039999999</v>
      </c>
      <c r="F19" s="1176">
        <v>0</v>
      </c>
      <c r="G19" s="1482">
        <v>21256731.669999998</v>
      </c>
      <c r="H19"/>
      <c r="L19" s="4"/>
    </row>
    <row r="20" spans="1:12">
      <c r="A20" s="1089">
        <f t="shared" si="0"/>
        <v>11</v>
      </c>
      <c r="B20" s="1097" t="s">
        <v>577</v>
      </c>
      <c r="C20" s="1176">
        <v>2047647508.7500002</v>
      </c>
      <c r="D20" s="1176">
        <v>0</v>
      </c>
      <c r="E20" s="1176">
        <v>53176767.550000004</v>
      </c>
      <c r="F20" s="1176">
        <v>0</v>
      </c>
      <c r="G20" s="1482">
        <v>21539634.379999995</v>
      </c>
      <c r="H20"/>
      <c r="L20" s="4"/>
    </row>
    <row r="21" spans="1:12">
      <c r="A21" s="1089">
        <f t="shared" si="0"/>
        <v>12</v>
      </c>
      <c r="B21" s="1097" t="s">
        <v>578</v>
      </c>
      <c r="C21" s="1176">
        <v>2074562122.3700001</v>
      </c>
      <c r="D21" s="1176">
        <v>0</v>
      </c>
      <c r="E21" s="1176">
        <v>53259753.180000007</v>
      </c>
      <c r="F21" s="1176">
        <v>0</v>
      </c>
      <c r="G21" s="1482">
        <v>22234500.080000002</v>
      </c>
      <c r="H21"/>
      <c r="L21" s="4"/>
    </row>
    <row r="22" spans="1:12">
      <c r="A22" s="1098">
        <f t="shared" si="0"/>
        <v>13</v>
      </c>
      <c r="B22" s="1099" t="s">
        <v>718</v>
      </c>
      <c r="C22" s="1176">
        <v>2170852854</v>
      </c>
      <c r="D22" s="1176">
        <v>0</v>
      </c>
      <c r="E22" s="1176">
        <v>53381262</v>
      </c>
      <c r="F22" s="1176">
        <v>0</v>
      </c>
      <c r="G22" s="1483">
        <v>22810677.829999998</v>
      </c>
      <c r="H22"/>
      <c r="L22" s="4"/>
    </row>
    <row r="23" spans="1:12" ht="13.5" thickBot="1">
      <c r="A23" s="1098">
        <f t="shared" si="0"/>
        <v>14</v>
      </c>
      <c r="B23" s="1100" t="s">
        <v>719</v>
      </c>
      <c r="C23" s="1101">
        <f>SUM(C10:C22)/13</f>
        <v>1894188507.5315385</v>
      </c>
      <c r="D23" s="1101">
        <f>SUM(D10:D22)/13</f>
        <v>0</v>
      </c>
      <c r="E23" s="1101">
        <f>SUM(E10:E22)/13</f>
        <v>51398103.626153857</v>
      </c>
      <c r="F23" s="1101">
        <f>SUM(F10:F22)/13</f>
        <v>0</v>
      </c>
      <c r="G23" s="1102">
        <f>SUM(G10:G22)/13</f>
        <v>20685674.776923075</v>
      </c>
      <c r="H23"/>
      <c r="L23" s="4"/>
    </row>
    <row r="24" spans="1:12" ht="13.5" thickTop="1">
      <c r="A24" s="1077"/>
      <c r="B24" s="1103"/>
      <c r="C24" s="1104"/>
      <c r="D24" s="1105"/>
      <c r="E24" s="1105"/>
      <c r="F24" s="1105"/>
      <c r="G24" s="1104"/>
      <c r="H24" s="1104"/>
      <c r="I24" s="1104"/>
      <c r="J24" s="4"/>
      <c r="K24" s="4"/>
      <c r="L24" s="4"/>
    </row>
    <row r="25" spans="1:12" ht="12.75" customHeight="1">
      <c r="A25" s="1077"/>
      <c r="B25" s="1080"/>
      <c r="C25" s="1515" t="s">
        <v>720</v>
      </c>
      <c r="D25" s="1516"/>
      <c r="E25" s="1516"/>
      <c r="F25" s="1516"/>
      <c r="G25" s="1516"/>
      <c r="H25"/>
      <c r="I25"/>
      <c r="J25"/>
      <c r="K25"/>
      <c r="L25" s="4"/>
    </row>
    <row r="26" spans="1:12" s="1088" customFormat="1" ht="25.5">
      <c r="A26" s="1084" t="s">
        <v>703</v>
      </c>
      <c r="B26" s="1085" t="s">
        <v>704</v>
      </c>
      <c r="C26" s="1086" t="s">
        <v>409</v>
      </c>
      <c r="D26" s="1086" t="s">
        <v>705</v>
      </c>
      <c r="E26" s="1086" t="s">
        <v>128</v>
      </c>
      <c r="F26" s="1086" t="s">
        <v>706</v>
      </c>
      <c r="G26" s="1106" t="s">
        <v>707</v>
      </c>
      <c r="H26"/>
      <c r="I26"/>
      <c r="J26"/>
      <c r="K26"/>
      <c r="L26" s="4"/>
    </row>
    <row r="27" spans="1:12" s="1093" customFormat="1">
      <c r="A27" s="1089"/>
      <c r="B27" s="1090" t="s">
        <v>708</v>
      </c>
      <c r="C27" s="1091" t="s">
        <v>709</v>
      </c>
      <c r="D27" s="1091" t="s">
        <v>710</v>
      </c>
      <c r="E27" s="1091" t="s">
        <v>711</v>
      </c>
      <c r="F27" s="1091" t="s">
        <v>712</v>
      </c>
      <c r="G27" s="1092" t="s">
        <v>713</v>
      </c>
      <c r="H27"/>
      <c r="I27"/>
      <c r="J27"/>
      <c r="K27"/>
      <c r="L27" s="4"/>
    </row>
    <row r="28" spans="1:12" s="1093" customFormat="1" ht="44.25" customHeight="1">
      <c r="A28" s="1089"/>
      <c r="B28" s="1090" t="s">
        <v>714</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715</v>
      </c>
      <c r="C29" s="1176">
        <v>122371783.73999999</v>
      </c>
      <c r="D29" s="1176">
        <v>0</v>
      </c>
      <c r="E29" s="1176">
        <v>15664.48</v>
      </c>
      <c r="F29" s="1176">
        <v>0</v>
      </c>
      <c r="G29" s="1481">
        <v>7308016.8899999997</v>
      </c>
      <c r="H29"/>
      <c r="I29"/>
      <c r="J29"/>
      <c r="K29"/>
      <c r="L29" s="4"/>
    </row>
    <row r="30" spans="1:12">
      <c r="A30" s="1089">
        <f>+A29+1</f>
        <v>16</v>
      </c>
      <c r="B30" s="1096" t="s">
        <v>568</v>
      </c>
      <c r="C30" s="1176">
        <v>125919443.45999999</v>
      </c>
      <c r="D30" s="1176">
        <v>0</v>
      </c>
      <c r="E30" s="1176">
        <v>91536.37000000001</v>
      </c>
      <c r="F30" s="1176">
        <v>0</v>
      </c>
      <c r="G30" s="1482">
        <v>7602155.1300000008</v>
      </c>
      <c r="H30"/>
      <c r="I30"/>
      <c r="J30"/>
      <c r="K30"/>
      <c r="L30" s="4"/>
    </row>
    <row r="31" spans="1:12">
      <c r="A31" s="1089">
        <f t="shared" ref="A31:A42" si="1">+A30+1</f>
        <v>17</v>
      </c>
      <c r="B31" s="1097" t="s">
        <v>569</v>
      </c>
      <c r="C31" s="1176">
        <v>129511452.7</v>
      </c>
      <c r="D31" s="1176">
        <v>0</v>
      </c>
      <c r="E31" s="1176">
        <v>167564.16</v>
      </c>
      <c r="F31" s="1176">
        <v>0</v>
      </c>
      <c r="G31" s="1482">
        <v>7900890.1800000016</v>
      </c>
      <c r="H31"/>
      <c r="I31"/>
      <c r="J31"/>
      <c r="K31"/>
      <c r="L31" s="4"/>
    </row>
    <row r="32" spans="1:12">
      <c r="A32" s="1089">
        <f t="shared" si="1"/>
        <v>18</v>
      </c>
      <c r="B32" s="1097" t="s">
        <v>716</v>
      </c>
      <c r="C32" s="1176">
        <v>133070110.91000001</v>
      </c>
      <c r="D32" s="1176">
        <v>0</v>
      </c>
      <c r="E32" s="1176">
        <v>240493.95</v>
      </c>
      <c r="F32" s="1176">
        <v>0</v>
      </c>
      <c r="G32" s="1482">
        <v>7870422</v>
      </c>
      <c r="H32"/>
      <c r="I32"/>
      <c r="J32"/>
      <c r="K32"/>
      <c r="L32" s="4"/>
    </row>
    <row r="33" spans="1:12">
      <c r="A33" s="1089">
        <f t="shared" si="1"/>
        <v>19</v>
      </c>
      <c r="B33" s="1097" t="s">
        <v>571</v>
      </c>
      <c r="C33" s="1176">
        <v>136664482.27999997</v>
      </c>
      <c r="D33" s="1176">
        <v>0</v>
      </c>
      <c r="E33" s="1176">
        <v>313829.77999999997</v>
      </c>
      <c r="F33" s="1176">
        <v>0</v>
      </c>
      <c r="G33" s="1482">
        <v>8169817.1699999999</v>
      </c>
      <c r="H33"/>
      <c r="I33"/>
      <c r="J33"/>
      <c r="K33"/>
      <c r="L33" s="4"/>
    </row>
    <row r="34" spans="1:12">
      <c r="A34" s="1089">
        <f t="shared" si="1"/>
        <v>20</v>
      </c>
      <c r="B34" s="1097" t="s">
        <v>572</v>
      </c>
      <c r="C34" s="1176">
        <v>140277529.71000001</v>
      </c>
      <c r="D34" s="1176">
        <v>0</v>
      </c>
      <c r="E34" s="1176">
        <v>387357.11000000004</v>
      </c>
      <c r="F34" s="1176">
        <v>0</v>
      </c>
      <c r="G34" s="1482">
        <v>8473351.9000000004</v>
      </c>
      <c r="H34"/>
      <c r="I34"/>
      <c r="J34"/>
      <c r="K34"/>
      <c r="L34" s="4"/>
    </row>
    <row r="35" spans="1:12">
      <c r="A35" s="1089">
        <f t="shared" si="1"/>
        <v>21</v>
      </c>
      <c r="B35" s="1097" t="s">
        <v>573</v>
      </c>
      <c r="C35" s="1176">
        <v>144055099.28</v>
      </c>
      <c r="D35" s="1176">
        <v>0</v>
      </c>
      <c r="E35" s="1176">
        <v>464058.95</v>
      </c>
      <c r="F35" s="1176">
        <v>0</v>
      </c>
      <c r="G35" s="1482">
        <v>8051482.1099999994</v>
      </c>
      <c r="H35"/>
      <c r="I35"/>
      <c r="J35"/>
      <c r="K35"/>
      <c r="L35" s="4"/>
    </row>
    <row r="36" spans="1:12">
      <c r="A36" s="1089">
        <f t="shared" si="1"/>
        <v>22</v>
      </c>
      <c r="B36" s="1097" t="s">
        <v>574</v>
      </c>
      <c r="C36" s="1176">
        <v>147847709.59999996</v>
      </c>
      <c r="D36" s="1176">
        <v>0</v>
      </c>
      <c r="E36" s="1176">
        <v>538476.80999999994</v>
      </c>
      <c r="F36" s="1176">
        <v>0</v>
      </c>
      <c r="G36" s="1482">
        <v>8352606.0700000003</v>
      </c>
      <c r="H36"/>
      <c r="I36"/>
      <c r="J36"/>
      <c r="K36"/>
      <c r="L36" s="4"/>
    </row>
    <row r="37" spans="1:12">
      <c r="A37" s="1089">
        <f t="shared" si="1"/>
        <v>23</v>
      </c>
      <c r="B37" s="1097" t="s">
        <v>717</v>
      </c>
      <c r="C37" s="1176">
        <v>151660856.81999999</v>
      </c>
      <c r="D37" s="1176">
        <v>0</v>
      </c>
      <c r="E37" s="1176">
        <v>617078.13</v>
      </c>
      <c r="F37" s="1176">
        <v>0</v>
      </c>
      <c r="G37" s="1482">
        <v>8666706.0299999993</v>
      </c>
      <c r="H37"/>
      <c r="I37"/>
      <c r="J37"/>
      <c r="K37"/>
      <c r="L37" s="4"/>
    </row>
    <row r="38" spans="1:12">
      <c r="A38" s="1089">
        <f t="shared" si="1"/>
        <v>24</v>
      </c>
      <c r="B38" s="1097" t="s">
        <v>576</v>
      </c>
      <c r="C38" s="1176">
        <v>155619276.08000001</v>
      </c>
      <c r="D38" s="1176">
        <v>0</v>
      </c>
      <c r="E38" s="1176">
        <v>696017.52</v>
      </c>
      <c r="F38" s="1176">
        <v>0</v>
      </c>
      <c r="G38" s="1482">
        <v>8629291.379999999</v>
      </c>
      <c r="H38"/>
      <c r="I38"/>
      <c r="J38"/>
      <c r="K38"/>
      <c r="L38" s="4"/>
    </row>
    <row r="39" spans="1:12">
      <c r="A39" s="1089">
        <f t="shared" si="1"/>
        <v>25</v>
      </c>
      <c r="B39" s="1097" t="s">
        <v>577</v>
      </c>
      <c r="C39" s="1176">
        <v>159606161.84999999</v>
      </c>
      <c r="D39" s="1176">
        <v>0</v>
      </c>
      <c r="E39" s="1176">
        <v>775230.27</v>
      </c>
      <c r="F39" s="1176">
        <v>0</v>
      </c>
      <c r="G39" s="1482">
        <v>8952314.3499999996</v>
      </c>
      <c r="H39"/>
      <c r="I39"/>
      <c r="J39"/>
      <c r="K39"/>
      <c r="L39" s="4"/>
    </row>
    <row r="40" spans="1:12">
      <c r="A40" s="1089">
        <f t="shared" si="1"/>
        <v>26</v>
      </c>
      <c r="B40" s="1097" t="s">
        <v>578</v>
      </c>
      <c r="C40" s="1176">
        <v>162106573.74000001</v>
      </c>
      <c r="D40" s="1176">
        <v>0</v>
      </c>
      <c r="E40" s="1176">
        <v>855046.54</v>
      </c>
      <c r="F40" s="1176">
        <v>0</v>
      </c>
      <c r="G40" s="1482">
        <v>9280052.370000001</v>
      </c>
      <c r="H40"/>
      <c r="I40"/>
      <c r="J40"/>
      <c r="K40"/>
      <c r="L40" s="4"/>
    </row>
    <row r="41" spans="1:12">
      <c r="A41" s="1098">
        <f t="shared" si="1"/>
        <v>27</v>
      </c>
      <c r="B41" s="1099" t="s">
        <v>718</v>
      </c>
      <c r="C41" s="1176">
        <v>166146878.47999999</v>
      </c>
      <c r="D41" s="1176">
        <v>0</v>
      </c>
      <c r="E41" s="1176">
        <v>932572.82</v>
      </c>
      <c r="F41" s="1176">
        <v>0</v>
      </c>
      <c r="G41" s="1483">
        <v>9230578.5000000019</v>
      </c>
      <c r="H41"/>
      <c r="I41"/>
      <c r="J41"/>
      <c r="K41"/>
      <c r="L41" s="4"/>
    </row>
    <row r="42" spans="1:12" ht="13.5" thickBot="1">
      <c r="A42" s="1107">
        <f t="shared" si="1"/>
        <v>28</v>
      </c>
      <c r="B42" s="1108" t="s">
        <v>719</v>
      </c>
      <c r="C42" s="1101">
        <f>SUM(C29:C41)/13</f>
        <v>144219796.81923074</v>
      </c>
      <c r="D42" s="1101">
        <f>SUM(D29:D41)/13</f>
        <v>0</v>
      </c>
      <c r="E42" s="1101">
        <f>SUM(E29:E41)/13</f>
        <v>468840.52999999997</v>
      </c>
      <c r="F42" s="1101">
        <f>SUM(F29:F41)/13</f>
        <v>0</v>
      </c>
      <c r="G42" s="1102">
        <f>SUM(G29:G41)/13</f>
        <v>8345206.4676923072</v>
      </c>
      <c r="H42"/>
      <c r="I42"/>
      <c r="J42"/>
      <c r="K42"/>
      <c r="L42" s="4"/>
    </row>
    <row r="43" spans="1:12" ht="13.5" thickTop="1">
      <c r="A43" s="1077"/>
      <c r="B43" s="1103"/>
      <c r="C43" s="1104"/>
      <c r="D43" s="1105"/>
      <c r="E43" s="1105"/>
      <c r="F43" s="1105"/>
      <c r="G43" s="1104"/>
      <c r="H43"/>
      <c r="I43"/>
      <c r="J43"/>
      <c r="K43"/>
      <c r="L43" s="4"/>
    </row>
    <row r="44" spans="1:12">
      <c r="A44" s="1077"/>
      <c r="B44" s="1103"/>
      <c r="C44" s="1104"/>
      <c r="D44" s="1105"/>
      <c r="E44" s="1105"/>
      <c r="F44" s="1105"/>
      <c r="G44" s="1104"/>
      <c r="H44" s="1104"/>
      <c r="I44" s="1104"/>
    </row>
    <row r="45" spans="1:12">
      <c r="A45" s="1109"/>
      <c r="B45" s="1110"/>
      <c r="C45" s="1111"/>
      <c r="D45" s="1112"/>
      <c r="E45" s="1112"/>
      <c r="F45" s="1158"/>
    </row>
    <row r="46" spans="1:12" ht="72" customHeight="1">
      <c r="A46" s="1113" t="s">
        <v>703</v>
      </c>
      <c r="B46" s="1091" t="s">
        <v>704</v>
      </c>
      <c r="C46" s="1114" t="s">
        <v>722</v>
      </c>
      <c r="D46" s="1086" t="s">
        <v>723</v>
      </c>
      <c r="E46" s="1086" t="s">
        <v>724</v>
      </c>
      <c r="F46" s="1106" t="s">
        <v>725</v>
      </c>
    </row>
    <row r="47" spans="1:12" s="1093" customFormat="1">
      <c r="A47" s="1089"/>
      <c r="B47" s="1091" t="s">
        <v>708</v>
      </c>
      <c r="C47" s="1115" t="s">
        <v>726</v>
      </c>
      <c r="D47" s="1091" t="s">
        <v>727</v>
      </c>
      <c r="E47" s="1091" t="s">
        <v>709</v>
      </c>
      <c r="F47" s="1090" t="s">
        <v>710</v>
      </c>
    </row>
    <row r="48" spans="1:12" s="1093" customFormat="1" ht="51">
      <c r="A48" s="1089"/>
      <c r="B48" s="1091" t="s">
        <v>714</v>
      </c>
      <c r="C48" s="1116" t="str">
        <f>"Company Records (included in total in column "&amp;C8&amp;" of gross plant above)"</f>
        <v>Company Records (included in total in column (d) of gross plant above)</v>
      </c>
      <c r="D48" s="1116" t="str">
        <f>"Company Records (included in total in column "&amp;C27&amp;" of accumulated depreciation above)"</f>
        <v>Company Records (included in total in column (d) of accumulated depreciation above)</v>
      </c>
      <c r="E48" s="1117" t="s">
        <v>721</v>
      </c>
      <c r="F48" s="1159" t="s">
        <v>721</v>
      </c>
    </row>
    <row r="49" spans="1:11">
      <c r="A49" s="1089">
        <f>+A42+1</f>
        <v>29</v>
      </c>
      <c r="B49" s="1118" t="s">
        <v>715</v>
      </c>
      <c r="C49" s="1176">
        <v>0</v>
      </c>
      <c r="D49" s="1176">
        <v>0</v>
      </c>
      <c r="E49" s="1176">
        <v>0</v>
      </c>
      <c r="F49" s="1481">
        <v>0</v>
      </c>
    </row>
    <row r="50" spans="1:11">
      <c r="A50" s="1089">
        <f>+A49+1</f>
        <v>30</v>
      </c>
      <c r="B50" s="1118" t="s">
        <v>568</v>
      </c>
      <c r="C50" s="1176">
        <v>0</v>
      </c>
      <c r="D50" s="1176">
        <v>0</v>
      </c>
      <c r="E50" s="1176">
        <v>0</v>
      </c>
      <c r="F50" s="1482">
        <v>0</v>
      </c>
    </row>
    <row r="51" spans="1:11">
      <c r="A51" s="1089">
        <f t="shared" ref="A51:A62" si="2">+A50+1</f>
        <v>31</v>
      </c>
      <c r="B51" s="1119" t="s">
        <v>569</v>
      </c>
      <c r="C51" s="1176">
        <v>0</v>
      </c>
      <c r="D51" s="1176">
        <v>0</v>
      </c>
      <c r="E51" s="1176">
        <v>0</v>
      </c>
      <c r="F51" s="1482">
        <v>0</v>
      </c>
    </row>
    <row r="52" spans="1:11">
      <c r="A52" s="1089">
        <f t="shared" si="2"/>
        <v>32</v>
      </c>
      <c r="B52" s="1119" t="s">
        <v>716</v>
      </c>
      <c r="C52" s="1176">
        <v>0</v>
      </c>
      <c r="D52" s="1176">
        <v>0</v>
      </c>
      <c r="E52" s="1176">
        <v>0</v>
      </c>
      <c r="F52" s="1482">
        <v>0</v>
      </c>
    </row>
    <row r="53" spans="1:11">
      <c r="A53" s="1089">
        <f t="shared" si="2"/>
        <v>33</v>
      </c>
      <c r="B53" s="1119" t="s">
        <v>571</v>
      </c>
      <c r="C53" s="1176">
        <v>0</v>
      </c>
      <c r="D53" s="1176">
        <v>0</v>
      </c>
      <c r="E53" s="1176">
        <v>0</v>
      </c>
      <c r="F53" s="1482">
        <v>0</v>
      </c>
    </row>
    <row r="54" spans="1:11">
      <c r="A54" s="1089">
        <f t="shared" si="2"/>
        <v>34</v>
      </c>
      <c r="B54" s="1119" t="s">
        <v>572</v>
      </c>
      <c r="C54" s="1176">
        <v>0</v>
      </c>
      <c r="D54" s="1176">
        <v>0</v>
      </c>
      <c r="E54" s="1176">
        <v>0</v>
      </c>
      <c r="F54" s="1482">
        <v>0</v>
      </c>
    </row>
    <row r="55" spans="1:11">
      <c r="A55" s="1089">
        <f t="shared" si="2"/>
        <v>35</v>
      </c>
      <c r="B55" s="1119" t="s">
        <v>573</v>
      </c>
      <c r="C55" s="1176">
        <v>0</v>
      </c>
      <c r="D55" s="1176">
        <v>0</v>
      </c>
      <c r="E55" s="1176">
        <v>0</v>
      </c>
      <c r="F55" s="1482">
        <v>0</v>
      </c>
    </row>
    <row r="56" spans="1:11">
      <c r="A56" s="1089">
        <f t="shared" si="2"/>
        <v>36</v>
      </c>
      <c r="B56" s="1119" t="s">
        <v>574</v>
      </c>
      <c r="C56" s="1176">
        <v>0</v>
      </c>
      <c r="D56" s="1176">
        <v>0</v>
      </c>
      <c r="E56" s="1176">
        <v>0</v>
      </c>
      <c r="F56" s="1482">
        <v>0</v>
      </c>
    </row>
    <row r="57" spans="1:11">
      <c r="A57" s="1089">
        <f t="shared" si="2"/>
        <v>37</v>
      </c>
      <c r="B57" s="1119" t="s">
        <v>717</v>
      </c>
      <c r="C57" s="1176">
        <v>0</v>
      </c>
      <c r="D57" s="1176">
        <v>0</v>
      </c>
      <c r="E57" s="1176">
        <v>0</v>
      </c>
      <c r="F57" s="1482">
        <v>0</v>
      </c>
    </row>
    <row r="58" spans="1:11">
      <c r="A58" s="1089">
        <f t="shared" si="2"/>
        <v>38</v>
      </c>
      <c r="B58" s="1119" t="s">
        <v>576</v>
      </c>
      <c r="C58" s="1176">
        <v>0</v>
      </c>
      <c r="D58" s="1176">
        <v>0</v>
      </c>
      <c r="E58" s="1176">
        <v>0</v>
      </c>
      <c r="F58" s="1482">
        <v>0</v>
      </c>
    </row>
    <row r="59" spans="1:11">
      <c r="A59" s="1089">
        <f t="shared" si="2"/>
        <v>39</v>
      </c>
      <c r="B59" s="1119" t="s">
        <v>577</v>
      </c>
      <c r="C59" s="1176">
        <v>0</v>
      </c>
      <c r="D59" s="1176">
        <v>0</v>
      </c>
      <c r="E59" s="1176">
        <v>0</v>
      </c>
      <c r="F59" s="1482">
        <v>0</v>
      </c>
    </row>
    <row r="60" spans="1:11">
      <c r="A60" s="1089">
        <f t="shared" si="2"/>
        <v>40</v>
      </c>
      <c r="B60" s="1119" t="s">
        <v>578</v>
      </c>
      <c r="C60" s="1176">
        <v>0</v>
      </c>
      <c r="D60" s="1176">
        <v>0</v>
      </c>
      <c r="E60" s="1176">
        <v>0</v>
      </c>
      <c r="F60" s="1482">
        <v>0</v>
      </c>
    </row>
    <row r="61" spans="1:11">
      <c r="A61" s="1098">
        <f t="shared" si="2"/>
        <v>41</v>
      </c>
      <c r="B61" s="1120" t="s">
        <v>718</v>
      </c>
      <c r="C61" s="1176">
        <v>0</v>
      </c>
      <c r="D61" s="1176">
        <v>0</v>
      </c>
      <c r="E61" s="1176">
        <v>0</v>
      </c>
      <c r="F61" s="1483">
        <v>0</v>
      </c>
    </row>
    <row r="62" spans="1:11" ht="13.5" thickBot="1">
      <c r="A62" s="1121">
        <f t="shared" si="2"/>
        <v>42</v>
      </c>
      <c r="B62" s="1108" t="s">
        <v>719</v>
      </c>
      <c r="C62" s="1101">
        <f>SUM(C49:C61)/13</f>
        <v>0</v>
      </c>
      <c r="D62" s="1101">
        <f>SUM(D49:D61)/13</f>
        <v>0</v>
      </c>
      <c r="E62" s="1101">
        <f>SUM(E49:E61)/13</f>
        <v>0</v>
      </c>
      <c r="F62" s="1102">
        <f>SUM(F49:F61)/13</f>
        <v>0</v>
      </c>
    </row>
    <row r="63" spans="1:11" ht="13.5" thickTop="1">
      <c r="A63" s="1077"/>
      <c r="B63" s="1103"/>
      <c r="I63" s="1105"/>
      <c r="K63" s="4"/>
    </row>
    <row r="64" spans="1:11">
      <c r="A64" s="1077">
        <v>43</v>
      </c>
      <c r="B64" s="1103" t="s">
        <v>728</v>
      </c>
      <c r="C64" s="1123">
        <f>+C42-C62</f>
        <v>144219796.81923074</v>
      </c>
      <c r="I64" s="1105"/>
      <c r="K64" s="4"/>
    </row>
    <row r="65" spans="1:6" customFormat="1"/>
    <row r="66" spans="1:6" customFormat="1"/>
    <row r="67" spans="1:6" customFormat="1" ht="25.5">
      <c r="A67" s="1125" t="s">
        <v>322</v>
      </c>
      <c r="B67" s="1126"/>
      <c r="C67" s="1127" t="s">
        <v>320</v>
      </c>
      <c r="D67" s="1128" t="str">
        <f>"Balance @ December 31, "&amp;TCOS!L4&amp;""</f>
        <v>Balance @ December 31, 2022</v>
      </c>
      <c r="E67" s="1129" t="str">
        <f>"Balance @ December 31, "&amp;TCOS!L4-1&amp;""</f>
        <v>Balance @ December 31, 2021</v>
      </c>
      <c r="F67" s="1129" t="str">
        <f>"Average Balance for "&amp;TCOS!L4&amp;""</f>
        <v>Average Balance for 2022</v>
      </c>
    </row>
    <row r="68" spans="1:6" customFormat="1">
      <c r="A68" s="1130"/>
      <c r="B68" s="1091" t="s">
        <v>708</v>
      </c>
      <c r="C68" s="1091" t="s">
        <v>726</v>
      </c>
      <c r="D68" s="1091" t="s">
        <v>727</v>
      </c>
      <c r="E68" s="1091" t="s">
        <v>709</v>
      </c>
      <c r="F68" s="1091" t="s">
        <v>710</v>
      </c>
    </row>
    <row r="69" spans="1:6" customFormat="1">
      <c r="A69" s="1131">
        <f>+A64+1</f>
        <v>44</v>
      </c>
      <c r="B69" s="1130" t="s">
        <v>322</v>
      </c>
      <c r="C69" s="1132" t="s">
        <v>169</v>
      </c>
      <c r="D69" s="441">
        <v>0</v>
      </c>
      <c r="E69" s="441">
        <v>0</v>
      </c>
      <c r="F69" s="1133">
        <f>IF(E69="",0,AVERAGE(D69:E69))</f>
        <v>0</v>
      </c>
    </row>
    <row r="70" spans="1:6" customFormat="1">
      <c r="A70" s="1134"/>
      <c r="B70" s="1135"/>
      <c r="C70" s="1135"/>
      <c r="F70" s="1136"/>
    </row>
    <row r="71" spans="1:6" customFormat="1">
      <c r="A71" s="1131">
        <f>+A69+1</f>
        <v>45</v>
      </c>
      <c r="B71" s="1130" t="s">
        <v>780</v>
      </c>
      <c r="C71" s="1137" t="s">
        <v>326</v>
      </c>
      <c r="D71" s="441">
        <v>0</v>
      </c>
      <c r="E71" s="441">
        <v>0</v>
      </c>
      <c r="F71" s="1133">
        <f>IF(E71="",0,AVERAGE(D71:E71))</f>
        <v>0</v>
      </c>
    </row>
    <row r="72" spans="1:6" customFormat="1">
      <c r="A72" s="4"/>
      <c r="B72" s="4"/>
      <c r="C72" s="4"/>
      <c r="D72" s="4"/>
    </row>
    <row r="73" spans="1:6" customFormat="1">
      <c r="A73" s="1130" t="s">
        <v>21</v>
      </c>
      <c r="B73" s="4"/>
      <c r="C73" s="4"/>
      <c r="D73" s="4"/>
    </row>
    <row r="74" spans="1:6" customFormat="1">
      <c r="A74" s="1138"/>
      <c r="B74" s="1135" t="s">
        <v>155</v>
      </c>
      <c r="C74" s="1135"/>
      <c r="D74" s="1135"/>
      <c r="E74" s="1135"/>
      <c r="F74" s="1135"/>
    </row>
    <row r="75" spans="1:6" customFormat="1">
      <c r="A75" s="1131">
        <f>+A71+1</f>
        <v>46</v>
      </c>
      <c r="B75" s="1139"/>
      <c r="C75" s="1139"/>
      <c r="D75" s="441"/>
      <c r="E75" s="441"/>
      <c r="F75" s="1133">
        <f>IF(E75="",0,AVERAGE(D75:E75))</f>
        <v>0</v>
      </c>
    </row>
    <row r="76" spans="1:6" customFormat="1">
      <c r="A76" s="1131">
        <f>+A75+1</f>
        <v>47</v>
      </c>
      <c r="B76" s="1139"/>
      <c r="C76" s="1139"/>
      <c r="D76" s="441"/>
      <c r="E76" s="441"/>
      <c r="F76" s="1133">
        <f>IF(E76="",0,AVERAGE(D76:E76))</f>
        <v>0</v>
      </c>
    </row>
    <row r="77" spans="1:6" customFormat="1">
      <c r="A77" s="1131">
        <f>+A76+1</f>
        <v>48</v>
      </c>
      <c r="B77" s="1139"/>
      <c r="C77" s="1139"/>
      <c r="D77" s="441"/>
      <c r="E77" s="441"/>
      <c r="F77" s="1133">
        <f>IF(E77="",0,AVERAGE(D77:E77))</f>
        <v>0</v>
      </c>
    </row>
    <row r="78" spans="1:6" customFormat="1">
      <c r="A78" s="1131">
        <f>+A77+1</f>
        <v>49</v>
      </c>
      <c r="B78" s="1139"/>
      <c r="C78" s="1139"/>
      <c r="D78" s="441"/>
      <c r="E78" s="441"/>
      <c r="F78" s="1133">
        <f>IF(E78="",0,AVERAGE(D78:E78))</f>
        <v>0</v>
      </c>
    </row>
    <row r="79" spans="1:6" customFormat="1">
      <c r="A79" s="1131">
        <f>+A78+1</f>
        <v>50</v>
      </c>
      <c r="B79" s="1139"/>
      <c r="C79" s="1139"/>
      <c r="D79" s="1140"/>
      <c r="E79" s="1140"/>
      <c r="F79" s="1141">
        <f>IF(E79="",0,AVERAGE(D79:E79))</f>
        <v>0</v>
      </c>
    </row>
    <row r="80" spans="1:6" customFormat="1" ht="18" customHeight="1">
      <c r="A80" s="1131">
        <f>+A79+1</f>
        <v>51</v>
      </c>
      <c r="B80" s="1135" t="s">
        <v>729</v>
      </c>
      <c r="C80" s="1135"/>
      <c r="D80" s="1142">
        <f>SUM(D75:D79)</f>
        <v>0</v>
      </c>
      <c r="E80" s="1142">
        <f>SUM(E75:E79)</f>
        <v>0</v>
      </c>
      <c r="F80" s="1142">
        <f>SUM(F75:F79)</f>
        <v>0</v>
      </c>
    </row>
    <row r="81" spans="1:6" customFormat="1" ht="17.25" customHeight="1">
      <c r="A81" s="1131"/>
      <c r="B81" s="1135"/>
      <c r="C81" s="1135"/>
      <c r="D81" s="1142"/>
      <c r="E81" s="1142"/>
      <c r="F81" s="1142"/>
    </row>
    <row r="82" spans="1:6" customFormat="1" ht="18.75" customHeight="1">
      <c r="A82" s="1130" t="s">
        <v>730</v>
      </c>
      <c r="B82" s="1143"/>
      <c r="C82" s="1143"/>
      <c r="D82" s="1143"/>
      <c r="E82" s="1135"/>
      <c r="F82" s="1135"/>
    </row>
    <row r="83" spans="1:6" customFormat="1" ht="31.5" customHeight="1">
      <c r="A83" s="1126"/>
      <c r="B83" s="1144"/>
      <c r="C83" s="1145"/>
      <c r="D83" s="5"/>
      <c r="E83" s="1135"/>
      <c r="F83" s="1135"/>
    </row>
    <row r="84" spans="1:6" customFormat="1" ht="21.75" customHeight="1">
      <c r="A84" s="1126">
        <f>+A80+1</f>
        <v>52</v>
      </c>
      <c r="B84" s="1146" t="s">
        <v>459</v>
      </c>
      <c r="C84" s="1146" t="s">
        <v>102</v>
      </c>
      <c r="D84" s="1147"/>
      <c r="E84" s="9"/>
      <c r="F84" s="1146"/>
    </row>
    <row r="85" spans="1:6" customFormat="1" ht="14.25">
      <c r="A85" s="1148" t="s">
        <v>731</v>
      </c>
      <c r="B85" s="1149"/>
      <c r="C85" s="1150"/>
      <c r="D85" s="441"/>
      <c r="E85" s="441"/>
      <c r="F85" s="1151">
        <f>IF(E85="",0,AVERAGE(D85:E85))</f>
        <v>0</v>
      </c>
    </row>
    <row r="86" spans="1:6" customFormat="1" ht="14.25">
      <c r="A86" s="1152" t="s">
        <v>732</v>
      </c>
      <c r="B86" s="441"/>
      <c r="C86" s="1150"/>
      <c r="D86" s="441"/>
      <c r="E86" s="441"/>
      <c r="F86" s="1153">
        <f>IF(E86="",0,AVERAGE(D86:E86))</f>
        <v>0</v>
      </c>
    </row>
    <row r="87" spans="1:6" customFormat="1" ht="18" customHeight="1">
      <c r="A87" s="1154">
        <f>A84+2</f>
        <v>54</v>
      </c>
      <c r="B87" s="9"/>
      <c r="C87" s="1155" t="s">
        <v>412</v>
      </c>
      <c r="D87" s="1123">
        <f>SUM(D85:D86)</f>
        <v>0</v>
      </c>
      <c r="E87" s="1123">
        <f>SUM(E85:E86)</f>
        <v>0</v>
      </c>
      <c r="F87" s="1123">
        <f>SUM(F85:F86)</f>
        <v>0</v>
      </c>
    </row>
    <row r="88" spans="1:6" customFormat="1">
      <c r="A88" s="1131"/>
      <c r="B88" s="1135"/>
      <c r="C88" s="1135"/>
      <c r="D88" s="1135"/>
    </row>
    <row r="89" spans="1:6">
      <c r="A89" s="1156" t="s">
        <v>733</v>
      </c>
      <c r="B89" s="1135"/>
      <c r="C89" s="1135"/>
      <c r="D89" s="1135"/>
    </row>
    <row r="90" spans="1:6">
      <c r="A90" s="1156" t="s">
        <v>734</v>
      </c>
      <c r="B90" s="1135"/>
      <c r="C90" s="1135"/>
      <c r="D90" s="1135"/>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L76"/>
  <sheetViews>
    <sheetView topLeftCell="A31" zoomScale="90" zoomScaleNormal="90" zoomScaleSheetLayoutView="70" workbookViewId="0">
      <selection activeCell="E29" sqref="E29:E41"/>
    </sheetView>
  </sheetViews>
  <sheetFormatPr defaultColWidth="11.42578125" defaultRowHeight="12.75"/>
  <cols>
    <col min="1" max="1" width="10.28515625" style="1188" customWidth="1"/>
    <col min="2" max="2" width="52.28515625" style="1161" customWidth="1"/>
    <col min="3" max="7" width="20.28515625" style="1161" customWidth="1"/>
    <col min="8" max="8" width="23" style="1161" customWidth="1"/>
    <col min="9" max="11" width="20.28515625" style="1161" customWidth="1"/>
    <col min="12" max="12" width="20" style="1161" customWidth="1"/>
    <col min="13" max="14" width="15.140625" style="1161" customWidth="1"/>
    <col min="15" max="16384" width="11.42578125" style="1161"/>
  </cols>
  <sheetData>
    <row r="1" spans="1:12" ht="15">
      <c r="A1" s="1587" t="str">
        <f>TCOS!F5</f>
        <v>AEPTCo subsidiaries in PJM</v>
      </c>
      <c r="B1" s="1587" t="s">
        <v>321</v>
      </c>
      <c r="C1" s="1587" t="s">
        <v>321</v>
      </c>
      <c r="D1" s="1587" t="s">
        <v>321</v>
      </c>
      <c r="E1" s="1587" t="s">
        <v>321</v>
      </c>
      <c r="F1" s="1587" t="s">
        <v>321</v>
      </c>
      <c r="G1" s="1587" t="s">
        <v>321</v>
      </c>
      <c r="H1" s="1160"/>
    </row>
    <row r="2" spans="1:12" ht="15">
      <c r="A2" s="1511" t="str">
        <f>"Cost of Service Formula Rate Using Actual/Projected FF1 Balances"</f>
        <v>Cost of Service Formula Rate Using Actual/Projected FF1 Balances</v>
      </c>
      <c r="B2" s="1511"/>
      <c r="C2" s="1511"/>
      <c r="D2" s="1511"/>
      <c r="E2" s="1511"/>
      <c r="F2" s="1511"/>
      <c r="G2" s="1511"/>
      <c r="H2" s="1162"/>
      <c r="I2" s="1162"/>
      <c r="J2" s="1162"/>
      <c r="L2" s="1163"/>
    </row>
    <row r="3" spans="1:12" ht="15">
      <c r="A3" s="1511" t="s">
        <v>735</v>
      </c>
      <c r="B3" s="1511"/>
      <c r="C3" s="1511"/>
      <c r="D3" s="1511"/>
      <c r="E3" s="1511"/>
      <c r="F3" s="1511"/>
      <c r="G3" s="1511"/>
      <c r="H3" s="1162"/>
      <c r="I3" s="1162"/>
      <c r="J3" s="1162"/>
    </row>
    <row r="4" spans="1:12" ht="15">
      <c r="A4" s="1517" t="str">
        <f>TCOS!F9</f>
        <v>West Virginia Transmission Company</v>
      </c>
      <c r="B4" s="1517"/>
      <c r="C4" s="1517"/>
      <c r="D4" s="1517"/>
      <c r="E4" s="1517"/>
      <c r="F4" s="1517"/>
      <c r="G4" s="1517"/>
      <c r="H4" s="1162"/>
      <c r="I4" s="1162"/>
      <c r="J4" s="1162"/>
    </row>
    <row r="5" spans="1:12">
      <c r="A5" s="1162"/>
      <c r="B5" s="1164"/>
      <c r="C5" s="1164"/>
      <c r="D5" s="1164"/>
      <c r="E5" s="1165"/>
      <c r="F5" s="1166"/>
      <c r="H5" s="1019"/>
      <c r="I5" s="1019"/>
      <c r="J5" s="1019"/>
      <c r="K5" s="1019"/>
      <c r="L5" s="1019"/>
    </row>
    <row r="6" spans="1:12" ht="12.75" customHeight="1">
      <c r="A6" s="1160"/>
      <c r="B6" s="1080"/>
      <c r="C6" s="1512" t="s">
        <v>331</v>
      </c>
      <c r="D6" s="1513"/>
      <c r="E6" s="1513"/>
      <c r="F6" s="1513"/>
      <c r="G6" s="1514"/>
      <c r="H6" s="1167"/>
      <c r="I6" s="1019"/>
      <c r="J6" s="1019"/>
      <c r="K6" s="1019"/>
      <c r="L6" s="1019"/>
    </row>
    <row r="7" spans="1:12" s="1170" customFormat="1" ht="38.25">
      <c r="A7" s="1168" t="s">
        <v>703</v>
      </c>
      <c r="B7" s="1085" t="s">
        <v>704</v>
      </c>
      <c r="C7" s="1114" t="s">
        <v>736</v>
      </c>
      <c r="D7" s="1086" t="s">
        <v>163</v>
      </c>
      <c r="E7" s="1086" t="s">
        <v>737</v>
      </c>
      <c r="F7" s="1086" t="s">
        <v>738</v>
      </c>
      <c r="G7" s="1169" t="s">
        <v>331</v>
      </c>
      <c r="H7" s="1167"/>
      <c r="I7" s="1019"/>
      <c r="J7" s="1019"/>
      <c r="K7" s="1019"/>
      <c r="L7" s="1019"/>
    </row>
    <row r="8" spans="1:12" s="1173" customFormat="1">
      <c r="A8" s="1171"/>
      <c r="B8" s="1090" t="s">
        <v>708</v>
      </c>
      <c r="C8" s="1115" t="s">
        <v>726</v>
      </c>
      <c r="D8" s="1091" t="s">
        <v>727</v>
      </c>
      <c r="E8" s="1091" t="s">
        <v>709</v>
      </c>
      <c r="F8" s="1091" t="s">
        <v>710</v>
      </c>
      <c r="G8" s="1172" t="s">
        <v>739</v>
      </c>
      <c r="H8" s="1167"/>
      <c r="I8" s="1019"/>
      <c r="J8" s="1019"/>
      <c r="K8" s="1019"/>
      <c r="L8" s="1019"/>
    </row>
    <row r="9" spans="1:12" s="1173" customFormat="1" ht="44.25" customHeight="1">
      <c r="A9" s="1171"/>
      <c r="B9" s="1090" t="s">
        <v>714</v>
      </c>
      <c r="C9" s="1174" t="s">
        <v>740</v>
      </c>
      <c r="D9" s="1094" t="s">
        <v>741</v>
      </c>
      <c r="E9" s="1094" t="s">
        <v>742</v>
      </c>
      <c r="F9" s="1094" t="s">
        <v>743</v>
      </c>
      <c r="G9" s="1175"/>
      <c r="H9" s="1167"/>
      <c r="I9" s="1019"/>
      <c r="J9" s="1019"/>
      <c r="K9" s="1019"/>
      <c r="L9" s="1019"/>
    </row>
    <row r="10" spans="1:12">
      <c r="A10" s="1171">
        <v>1</v>
      </c>
      <c r="B10" s="1096" t="s">
        <v>715</v>
      </c>
      <c r="C10" s="1176">
        <v>902039991.45299983</v>
      </c>
      <c r="D10" s="1176">
        <v>0</v>
      </c>
      <c r="E10" s="1176">
        <v>0</v>
      </c>
      <c r="F10" s="1176">
        <v>0</v>
      </c>
      <c r="G10" s="1177">
        <f>+C10-D10-E10-F10</f>
        <v>902039991.45299983</v>
      </c>
      <c r="H10" s="1167"/>
      <c r="I10" s="1019"/>
      <c r="J10" s="1019"/>
      <c r="K10" s="1019"/>
      <c r="L10" s="1019"/>
    </row>
    <row r="11" spans="1:12">
      <c r="A11" s="1171">
        <f>+A10+1</f>
        <v>2</v>
      </c>
      <c r="B11" s="1096" t="s">
        <v>568</v>
      </c>
      <c r="C11" s="1176">
        <v>912165876.96899998</v>
      </c>
      <c r="D11" s="1176">
        <v>0</v>
      </c>
      <c r="E11" s="1176">
        <v>0</v>
      </c>
      <c r="F11" s="1176">
        <v>0</v>
      </c>
      <c r="G11" s="1177">
        <f t="shared" ref="G11:G22" si="0">+C11-D11-E11-F11</f>
        <v>912165876.96899998</v>
      </c>
      <c r="H11" s="1167"/>
      <c r="I11" s="1019"/>
      <c r="J11" s="1019"/>
      <c r="K11" s="1019"/>
      <c r="L11" s="1019"/>
    </row>
    <row r="12" spans="1:12">
      <c r="A12" s="1171">
        <f t="shared" ref="A12:A23" si="1">+A11+1</f>
        <v>3</v>
      </c>
      <c r="B12" s="1097" t="s">
        <v>569</v>
      </c>
      <c r="C12" s="1176">
        <v>921143531.699</v>
      </c>
      <c r="D12" s="1176">
        <v>0</v>
      </c>
      <c r="E12" s="1176">
        <v>0</v>
      </c>
      <c r="F12" s="1176">
        <v>0</v>
      </c>
      <c r="G12" s="1177">
        <f t="shared" si="0"/>
        <v>921143531.699</v>
      </c>
      <c r="H12" s="1167"/>
      <c r="I12" s="1019"/>
      <c r="J12" s="1019"/>
      <c r="K12" s="1019"/>
      <c r="L12" s="1019"/>
    </row>
    <row r="13" spans="1:12">
      <c r="A13" s="1171">
        <f t="shared" si="1"/>
        <v>4</v>
      </c>
      <c r="B13" s="1097" t="s">
        <v>716</v>
      </c>
      <c r="C13" s="1176">
        <v>930677487.39899993</v>
      </c>
      <c r="D13" s="1176">
        <v>0</v>
      </c>
      <c r="E13" s="1176">
        <v>0</v>
      </c>
      <c r="F13" s="1176">
        <v>0</v>
      </c>
      <c r="G13" s="1177">
        <f t="shared" si="0"/>
        <v>930677487.39899993</v>
      </c>
      <c r="H13" s="1167"/>
      <c r="I13" s="1019"/>
      <c r="J13" s="1019"/>
      <c r="K13" s="1019"/>
      <c r="L13" s="1019"/>
    </row>
    <row r="14" spans="1:12">
      <c r="A14" s="1171">
        <f t="shared" si="1"/>
        <v>5</v>
      </c>
      <c r="B14" s="1097" t="s">
        <v>571</v>
      </c>
      <c r="C14" s="1176">
        <v>940011583.8210001</v>
      </c>
      <c r="D14" s="1176">
        <v>0</v>
      </c>
      <c r="E14" s="1176">
        <v>0</v>
      </c>
      <c r="F14" s="1176">
        <v>0</v>
      </c>
      <c r="G14" s="1177">
        <f t="shared" si="0"/>
        <v>940011583.8210001</v>
      </c>
      <c r="H14" s="1167"/>
      <c r="I14" s="1019"/>
      <c r="J14" s="1019"/>
      <c r="K14" s="1019"/>
      <c r="L14" s="1019"/>
    </row>
    <row r="15" spans="1:12">
      <c r="A15" s="1171">
        <f t="shared" si="1"/>
        <v>6</v>
      </c>
      <c r="B15" s="1097" t="s">
        <v>572</v>
      </c>
      <c r="C15" s="1176">
        <v>949581839.76999998</v>
      </c>
      <c r="D15" s="1176">
        <v>0</v>
      </c>
      <c r="E15" s="1176">
        <v>0</v>
      </c>
      <c r="F15" s="1176">
        <v>0</v>
      </c>
      <c r="G15" s="1177">
        <f t="shared" si="0"/>
        <v>949581839.76999998</v>
      </c>
      <c r="H15" s="1167"/>
      <c r="I15" s="1019"/>
      <c r="J15" s="1019"/>
      <c r="K15" s="1019"/>
      <c r="L15" s="1019"/>
    </row>
    <row r="16" spans="1:12">
      <c r="A16" s="1171">
        <f t="shared" si="1"/>
        <v>7</v>
      </c>
      <c r="B16" s="1097" t="s">
        <v>573</v>
      </c>
      <c r="C16" s="1176">
        <v>947763308.52099991</v>
      </c>
      <c r="D16" s="1176">
        <v>0</v>
      </c>
      <c r="E16" s="1176">
        <v>0</v>
      </c>
      <c r="F16" s="1176">
        <v>0</v>
      </c>
      <c r="G16" s="1177">
        <f t="shared" si="0"/>
        <v>947763308.52099991</v>
      </c>
      <c r="H16" s="1167"/>
      <c r="I16" s="1019"/>
      <c r="J16" s="1019"/>
      <c r="K16" s="1019"/>
      <c r="L16" s="1019"/>
    </row>
    <row r="17" spans="1:12">
      <c r="A17" s="1171">
        <f t="shared" si="1"/>
        <v>8</v>
      </c>
      <c r="B17" s="1097" t="s">
        <v>574</v>
      </c>
      <c r="C17" s="1176">
        <v>1015096310.21</v>
      </c>
      <c r="D17" s="1176">
        <v>0</v>
      </c>
      <c r="E17" s="1176">
        <v>0</v>
      </c>
      <c r="F17" s="1176">
        <v>0</v>
      </c>
      <c r="G17" s="1177">
        <f t="shared" si="0"/>
        <v>1015096310.21</v>
      </c>
      <c r="H17" s="1167"/>
      <c r="I17" s="1019"/>
      <c r="J17" s="1019"/>
      <c r="K17" s="1019"/>
      <c r="L17" s="1019"/>
    </row>
    <row r="18" spans="1:12">
      <c r="A18" s="1171">
        <f t="shared" si="1"/>
        <v>9</v>
      </c>
      <c r="B18" s="1097" t="s">
        <v>717</v>
      </c>
      <c r="C18" s="1176">
        <v>1024202016.1390001</v>
      </c>
      <c r="D18" s="1176">
        <v>0</v>
      </c>
      <c r="E18" s="1176">
        <v>0</v>
      </c>
      <c r="F18" s="1176">
        <v>0</v>
      </c>
      <c r="G18" s="1177">
        <f t="shared" si="0"/>
        <v>1024202016.1390001</v>
      </c>
      <c r="H18" s="1167"/>
      <c r="I18" s="1019"/>
      <c r="J18" s="1019"/>
      <c r="K18" s="1019"/>
      <c r="L18" s="1019"/>
    </row>
    <row r="19" spans="1:12">
      <c r="A19" s="1171">
        <f t="shared" si="1"/>
        <v>10</v>
      </c>
      <c r="B19" s="1097" t="s">
        <v>576</v>
      </c>
      <c r="C19" s="1176">
        <v>1032158600.8140001</v>
      </c>
      <c r="D19" s="1176">
        <v>0</v>
      </c>
      <c r="E19" s="1176">
        <v>0</v>
      </c>
      <c r="F19" s="1176">
        <v>0</v>
      </c>
      <c r="G19" s="1177">
        <f t="shared" si="0"/>
        <v>1032158600.8140001</v>
      </c>
      <c r="H19" s="1167"/>
      <c r="I19" s="1019"/>
      <c r="J19" s="1019"/>
      <c r="K19" s="1019"/>
      <c r="L19" s="1019"/>
    </row>
    <row r="20" spans="1:12">
      <c r="A20" s="1171">
        <f t="shared" si="1"/>
        <v>11</v>
      </c>
      <c r="B20" s="1097" t="s">
        <v>577</v>
      </c>
      <c r="C20" s="1176">
        <v>1040590024.908</v>
      </c>
      <c r="D20" s="1176">
        <v>0</v>
      </c>
      <c r="E20" s="1176">
        <v>0</v>
      </c>
      <c r="F20" s="1176">
        <v>0</v>
      </c>
      <c r="G20" s="1177">
        <f t="shared" si="0"/>
        <v>1040590024.908</v>
      </c>
      <c r="H20" s="1167"/>
      <c r="I20" s="1019"/>
      <c r="J20" s="1019"/>
      <c r="K20" s="1019"/>
      <c r="L20" s="1019"/>
    </row>
    <row r="21" spans="1:12">
      <c r="A21" s="1171">
        <f t="shared" si="1"/>
        <v>12</v>
      </c>
      <c r="B21" s="1097" t="s">
        <v>578</v>
      </c>
      <c r="C21" s="1176">
        <v>1049182796.258</v>
      </c>
      <c r="D21" s="1176">
        <v>0</v>
      </c>
      <c r="E21" s="1176">
        <v>0</v>
      </c>
      <c r="F21" s="1176">
        <v>0</v>
      </c>
      <c r="G21" s="1177">
        <f t="shared" si="0"/>
        <v>1049182796.258</v>
      </c>
      <c r="H21" s="1167"/>
      <c r="I21" s="1019"/>
      <c r="J21" s="1019"/>
      <c r="K21" s="1019"/>
      <c r="L21" s="1019"/>
    </row>
    <row r="22" spans="1:12">
      <c r="A22" s="1178">
        <f t="shared" si="1"/>
        <v>13</v>
      </c>
      <c r="B22" s="1099" t="s">
        <v>718</v>
      </c>
      <c r="C22" s="1176">
        <v>1060754284.3499997</v>
      </c>
      <c r="D22" s="1176">
        <v>0</v>
      </c>
      <c r="E22" s="1176">
        <v>0</v>
      </c>
      <c r="F22" s="1176">
        <v>0</v>
      </c>
      <c r="G22" s="1177">
        <f t="shared" si="0"/>
        <v>1060754284.3499997</v>
      </c>
      <c r="H22" s="1167"/>
      <c r="I22" s="1019"/>
      <c r="J22" s="1019"/>
      <c r="K22" s="1019"/>
      <c r="L22" s="1019"/>
    </row>
    <row r="23" spans="1:12" ht="13.5" thickBot="1">
      <c r="A23" s="1178">
        <f t="shared" si="1"/>
        <v>14</v>
      </c>
      <c r="B23" s="1100" t="s">
        <v>719</v>
      </c>
      <c r="C23" s="1122">
        <f>SUM(C10:C22)/13</f>
        <v>978874434.79315376</v>
      </c>
      <c r="D23" s="1101">
        <f>SUM(D10:D22)/13</f>
        <v>0</v>
      </c>
      <c r="E23" s="1101">
        <f>SUM(E10:E22)/13</f>
        <v>0</v>
      </c>
      <c r="F23" s="1101">
        <f>SUM(F10:F22)/13</f>
        <v>0</v>
      </c>
      <c r="G23" s="1179">
        <f>SUM(G10:G22)/13</f>
        <v>978874434.79315376</v>
      </c>
      <c r="H23" s="1167"/>
      <c r="I23" s="1019"/>
      <c r="J23" s="1019"/>
      <c r="K23" s="1019"/>
      <c r="L23" s="1019"/>
    </row>
    <row r="24" spans="1:12" ht="13.5" thickTop="1">
      <c r="A24" s="1160"/>
      <c r="B24" s="1103"/>
      <c r="C24" s="1104"/>
      <c r="D24" s="1105"/>
      <c r="E24" s="1105"/>
      <c r="F24" s="1105"/>
      <c r="G24" s="1104"/>
      <c r="H24" s="1104"/>
      <c r="I24" s="1019"/>
      <c r="J24" s="1019"/>
      <c r="K24" s="1019"/>
      <c r="L24" s="1019"/>
    </row>
    <row r="25" spans="1:12" ht="12.75" customHeight="1">
      <c r="A25" s="1160"/>
      <c r="B25" s="1080"/>
      <c r="C25" s="1588" t="s">
        <v>534</v>
      </c>
      <c r="D25" s="1589"/>
      <c r="E25" s="1589"/>
      <c r="F25" s="1589"/>
      <c r="G25" s="1589"/>
      <c r="H25" s="1590"/>
      <c r="I25" s="1019"/>
      <c r="J25" s="1019"/>
      <c r="K25" s="1019"/>
      <c r="L25" s="1019"/>
    </row>
    <row r="26" spans="1:12" s="1170" customFormat="1" ht="38.25">
      <c r="A26" s="1168" t="s">
        <v>703</v>
      </c>
      <c r="B26" s="1085" t="s">
        <v>704</v>
      </c>
      <c r="C26" s="1114" t="s">
        <v>744</v>
      </c>
      <c r="D26" s="1086" t="s">
        <v>745</v>
      </c>
      <c r="E26" s="1086" t="s">
        <v>759</v>
      </c>
      <c r="F26" s="1086" t="s">
        <v>760</v>
      </c>
      <c r="G26" s="1086" t="s">
        <v>746</v>
      </c>
      <c r="H26" s="1169" t="s">
        <v>758</v>
      </c>
      <c r="I26" s="1019"/>
      <c r="J26" s="1019"/>
      <c r="K26" s="1019"/>
      <c r="L26" s="1019"/>
    </row>
    <row r="27" spans="1:12" s="1173" customFormat="1">
      <c r="A27" s="1171"/>
      <c r="B27" s="1090" t="s">
        <v>708</v>
      </c>
      <c r="C27" s="1115" t="s">
        <v>726</v>
      </c>
      <c r="D27" s="1091" t="s">
        <v>727</v>
      </c>
      <c r="E27" s="1091" t="s">
        <v>709</v>
      </c>
      <c r="F27" s="1091" t="s">
        <v>710</v>
      </c>
      <c r="G27" s="1091" t="s">
        <v>747</v>
      </c>
      <c r="H27" s="1172" t="s">
        <v>748</v>
      </c>
      <c r="I27" s="1019"/>
      <c r="J27" s="1019"/>
      <c r="K27" s="1019"/>
      <c r="L27" s="1019"/>
    </row>
    <row r="28" spans="1:12" s="1173" customFormat="1" ht="44.25" customHeight="1">
      <c r="A28" s="1171"/>
      <c r="B28" s="1090" t="s">
        <v>714</v>
      </c>
      <c r="C28" s="1174" t="s">
        <v>749</v>
      </c>
      <c r="D28" s="1094" t="s">
        <v>750</v>
      </c>
      <c r="E28" s="1094" t="s">
        <v>751</v>
      </c>
      <c r="F28" s="1094" t="s">
        <v>752</v>
      </c>
      <c r="G28" s="1094" t="s">
        <v>753</v>
      </c>
      <c r="H28" s="1180"/>
      <c r="I28" s="1019"/>
      <c r="J28" s="1019"/>
      <c r="K28" s="1019"/>
      <c r="L28" s="1019"/>
    </row>
    <row r="29" spans="1:12">
      <c r="A29" s="1171">
        <f>+A23+1</f>
        <v>15</v>
      </c>
      <c r="B29" s="1096" t="s">
        <v>715</v>
      </c>
      <c r="C29" s="1176">
        <v>0</v>
      </c>
      <c r="D29" s="1176">
        <v>0</v>
      </c>
      <c r="E29" s="1176">
        <v>800600000</v>
      </c>
      <c r="F29" s="1176">
        <v>0</v>
      </c>
      <c r="G29" s="1176">
        <v>0</v>
      </c>
      <c r="H29" s="1177">
        <f>+C29-D29+E29+F29-G29</f>
        <v>800600000</v>
      </c>
      <c r="I29" s="1019"/>
      <c r="J29" s="1019"/>
      <c r="K29" s="1019"/>
      <c r="L29" s="1019"/>
    </row>
    <row r="30" spans="1:12">
      <c r="A30" s="1171">
        <f>+A29+1</f>
        <v>16</v>
      </c>
      <c r="B30" s="1096" t="s">
        <v>568</v>
      </c>
      <c r="C30" s="1176">
        <v>0</v>
      </c>
      <c r="D30" s="1176">
        <v>0</v>
      </c>
      <c r="E30" s="1176">
        <v>800600000</v>
      </c>
      <c r="F30" s="1176">
        <v>0</v>
      </c>
      <c r="G30" s="1176">
        <v>0</v>
      </c>
      <c r="H30" s="1177">
        <f t="shared" ref="H30:H41" si="2">+C30-D30+E30+F30-G30</f>
        <v>800600000</v>
      </c>
      <c r="I30" s="1019"/>
      <c r="J30" s="1019"/>
      <c r="K30" s="1019"/>
      <c r="L30" s="1019"/>
    </row>
    <row r="31" spans="1:12">
      <c r="A31" s="1171">
        <f t="shared" ref="A31:A42" si="3">+A30+1</f>
        <v>17</v>
      </c>
      <c r="B31" s="1097" t="s">
        <v>569</v>
      </c>
      <c r="C31" s="1176">
        <v>0</v>
      </c>
      <c r="D31" s="1176">
        <v>0</v>
      </c>
      <c r="E31" s="1176">
        <v>800600000</v>
      </c>
      <c r="F31" s="1176">
        <v>0</v>
      </c>
      <c r="G31" s="1176">
        <v>0</v>
      </c>
      <c r="H31" s="1177">
        <f t="shared" si="2"/>
        <v>800600000</v>
      </c>
      <c r="I31" s="1019"/>
      <c r="J31" s="1019"/>
      <c r="K31" s="1019"/>
      <c r="L31" s="1019"/>
    </row>
    <row r="32" spans="1:12">
      <c r="A32" s="1171">
        <f t="shared" si="3"/>
        <v>18</v>
      </c>
      <c r="B32" s="1097" t="s">
        <v>716</v>
      </c>
      <c r="C32" s="1176">
        <v>0</v>
      </c>
      <c r="D32" s="1176">
        <v>0</v>
      </c>
      <c r="E32" s="1176">
        <v>800600000</v>
      </c>
      <c r="F32" s="1176">
        <v>0</v>
      </c>
      <c r="G32" s="1176">
        <v>0</v>
      </c>
      <c r="H32" s="1177">
        <f t="shared" si="2"/>
        <v>800600000</v>
      </c>
      <c r="I32" s="1019"/>
      <c r="J32" s="1019"/>
      <c r="K32" s="1019"/>
      <c r="L32" s="1019"/>
    </row>
    <row r="33" spans="1:12">
      <c r="A33" s="1171">
        <f t="shared" si="3"/>
        <v>19</v>
      </c>
      <c r="B33" s="1097" t="s">
        <v>571</v>
      </c>
      <c r="C33" s="1176">
        <v>0</v>
      </c>
      <c r="D33" s="1176">
        <v>0</v>
      </c>
      <c r="E33" s="1176">
        <v>800600000</v>
      </c>
      <c r="F33" s="1176">
        <v>0</v>
      </c>
      <c r="G33" s="1176">
        <v>0</v>
      </c>
      <c r="H33" s="1177">
        <f t="shared" si="2"/>
        <v>800600000</v>
      </c>
      <c r="I33" s="1019"/>
      <c r="J33" s="1019"/>
      <c r="K33" s="1019"/>
      <c r="L33" s="1019"/>
    </row>
    <row r="34" spans="1:12">
      <c r="A34" s="1171">
        <f t="shared" si="3"/>
        <v>20</v>
      </c>
      <c r="B34" s="1097" t="s">
        <v>572</v>
      </c>
      <c r="C34" s="1176">
        <v>0</v>
      </c>
      <c r="D34" s="1176">
        <v>0</v>
      </c>
      <c r="E34" s="1176">
        <v>800600000</v>
      </c>
      <c r="F34" s="1176">
        <v>0</v>
      </c>
      <c r="G34" s="1176">
        <v>0</v>
      </c>
      <c r="H34" s="1177">
        <f>+C34-D34+E34+F34-G34</f>
        <v>800600000</v>
      </c>
      <c r="I34" s="1019"/>
      <c r="J34" s="1019"/>
      <c r="K34" s="1019"/>
      <c r="L34" s="1019"/>
    </row>
    <row r="35" spans="1:12">
      <c r="A35" s="1171">
        <f t="shared" si="3"/>
        <v>21</v>
      </c>
      <c r="B35" s="1097" t="s">
        <v>573</v>
      </c>
      <c r="C35" s="1176">
        <v>0</v>
      </c>
      <c r="D35" s="1176">
        <v>0</v>
      </c>
      <c r="E35" s="1176">
        <v>870600000</v>
      </c>
      <c r="F35" s="1176">
        <v>0</v>
      </c>
      <c r="G35" s="1176">
        <v>0</v>
      </c>
      <c r="H35" s="1177">
        <f t="shared" si="2"/>
        <v>870600000</v>
      </c>
      <c r="I35" s="1019"/>
      <c r="J35" s="1019"/>
      <c r="K35" s="1019"/>
      <c r="L35" s="1019"/>
    </row>
    <row r="36" spans="1:12">
      <c r="A36" s="1171">
        <f t="shared" si="3"/>
        <v>22</v>
      </c>
      <c r="B36" s="1097" t="s">
        <v>574</v>
      </c>
      <c r="C36" s="1176">
        <v>0</v>
      </c>
      <c r="D36" s="1176">
        <v>0</v>
      </c>
      <c r="E36" s="1176">
        <v>870600000</v>
      </c>
      <c r="F36" s="1176">
        <v>0</v>
      </c>
      <c r="G36" s="1176">
        <v>0</v>
      </c>
      <c r="H36" s="1177">
        <f t="shared" si="2"/>
        <v>870600000</v>
      </c>
      <c r="I36" s="1019"/>
      <c r="J36" s="1019"/>
      <c r="K36" s="1019"/>
      <c r="L36" s="1019"/>
    </row>
    <row r="37" spans="1:12">
      <c r="A37" s="1171">
        <f t="shared" si="3"/>
        <v>23</v>
      </c>
      <c r="B37" s="1097" t="s">
        <v>717</v>
      </c>
      <c r="C37" s="1176">
        <v>0</v>
      </c>
      <c r="D37" s="1176">
        <v>0</v>
      </c>
      <c r="E37" s="1176">
        <v>870600000</v>
      </c>
      <c r="F37" s="1176">
        <v>0</v>
      </c>
      <c r="G37" s="1176">
        <v>0</v>
      </c>
      <c r="H37" s="1177">
        <f t="shared" si="2"/>
        <v>870600000</v>
      </c>
      <c r="I37" s="1019"/>
      <c r="J37" s="1019"/>
      <c r="K37" s="1019"/>
      <c r="L37" s="1019"/>
    </row>
    <row r="38" spans="1:12">
      <c r="A38" s="1171">
        <f t="shared" si="3"/>
        <v>24</v>
      </c>
      <c r="B38" s="1097" t="s">
        <v>576</v>
      </c>
      <c r="C38" s="1176">
        <v>0</v>
      </c>
      <c r="D38" s="1176">
        <v>0</v>
      </c>
      <c r="E38" s="1176">
        <v>870600000</v>
      </c>
      <c r="F38" s="1176">
        <v>0</v>
      </c>
      <c r="G38" s="1176">
        <v>0</v>
      </c>
      <c r="H38" s="1177">
        <f t="shared" si="2"/>
        <v>870600000</v>
      </c>
      <c r="I38" s="1019"/>
      <c r="J38" s="1019"/>
      <c r="K38" s="1019"/>
      <c r="L38" s="1019"/>
    </row>
    <row r="39" spans="1:12">
      <c r="A39" s="1171">
        <f t="shared" si="3"/>
        <v>25</v>
      </c>
      <c r="B39" s="1097" t="s">
        <v>577</v>
      </c>
      <c r="C39" s="1176">
        <v>0</v>
      </c>
      <c r="D39" s="1176">
        <v>0</v>
      </c>
      <c r="E39" s="1176">
        <v>870600000</v>
      </c>
      <c r="F39" s="1176">
        <v>0</v>
      </c>
      <c r="G39" s="1176">
        <v>0</v>
      </c>
      <c r="H39" s="1177">
        <f t="shared" si="2"/>
        <v>870600000</v>
      </c>
      <c r="I39" s="1019"/>
      <c r="J39" s="1019"/>
      <c r="K39" s="1019"/>
      <c r="L39" s="1019"/>
    </row>
    <row r="40" spans="1:12">
      <c r="A40" s="1171">
        <f t="shared" si="3"/>
        <v>26</v>
      </c>
      <c r="B40" s="1097" t="s">
        <v>578</v>
      </c>
      <c r="C40" s="1176">
        <v>0</v>
      </c>
      <c r="D40" s="1176">
        <v>0</v>
      </c>
      <c r="E40" s="1176">
        <v>870600000</v>
      </c>
      <c r="F40" s="1176">
        <v>0</v>
      </c>
      <c r="G40" s="1176">
        <v>0</v>
      </c>
      <c r="H40" s="1177">
        <f t="shared" si="2"/>
        <v>870600000</v>
      </c>
      <c r="I40" s="1019"/>
      <c r="J40" s="1019"/>
      <c r="K40" s="1019"/>
      <c r="L40" s="1019"/>
    </row>
    <row r="41" spans="1:12">
      <c r="A41" s="1178">
        <f t="shared" si="3"/>
        <v>27</v>
      </c>
      <c r="B41" s="1099" t="s">
        <v>718</v>
      </c>
      <c r="C41" s="1176">
        <v>0</v>
      </c>
      <c r="D41" s="1176">
        <v>0</v>
      </c>
      <c r="E41" s="1176">
        <v>870600000</v>
      </c>
      <c r="F41" s="1176">
        <v>0</v>
      </c>
      <c r="G41" s="1176">
        <v>0</v>
      </c>
      <c r="H41" s="1177">
        <f t="shared" si="2"/>
        <v>870600000</v>
      </c>
      <c r="I41" s="1019"/>
      <c r="J41" s="1019"/>
      <c r="K41" s="1019"/>
      <c r="L41" s="1019"/>
    </row>
    <row r="42" spans="1:12" ht="13.5" thickBot="1">
      <c r="A42" s="1182">
        <f t="shared" si="3"/>
        <v>28</v>
      </c>
      <c r="B42" s="1108" t="s">
        <v>719</v>
      </c>
      <c r="C42" s="1122">
        <f t="shared" ref="C42:H42" si="4">SUM(C29:C41)/13</f>
        <v>0</v>
      </c>
      <c r="D42" s="1101">
        <f t="shared" si="4"/>
        <v>0</v>
      </c>
      <c r="E42" s="1101">
        <f t="shared" si="4"/>
        <v>838292307.69230771</v>
      </c>
      <c r="F42" s="1101">
        <f t="shared" si="4"/>
        <v>0</v>
      </c>
      <c r="G42" s="1101">
        <f t="shared" si="4"/>
        <v>0</v>
      </c>
      <c r="H42" s="1179">
        <f t="shared" si="4"/>
        <v>838292307.69230771</v>
      </c>
      <c r="I42" s="1019"/>
      <c r="J42" s="1019"/>
      <c r="K42" s="1019"/>
      <c r="L42" s="1019"/>
    </row>
    <row r="43" spans="1:12" ht="13.5" thickTop="1">
      <c r="A43" s="1162"/>
      <c r="B43" s="1183"/>
      <c r="C43" s="1184"/>
      <c r="D43" s="1185"/>
      <c r="E43" s="1185"/>
      <c r="F43" s="1185"/>
      <c r="G43" s="1184"/>
      <c r="H43" s="1184"/>
      <c r="I43" s="1019"/>
      <c r="J43" s="1019"/>
      <c r="K43" s="1019"/>
      <c r="L43" s="1019"/>
    </row>
    <row r="44" spans="1:12" ht="12.75" customHeight="1">
      <c r="A44" s="1186" t="s">
        <v>754</v>
      </c>
      <c r="F44" s="1187"/>
      <c r="G44" s="1187"/>
      <c r="H44" s="1187"/>
      <c r="I44" s="1019"/>
      <c r="J44" s="1019"/>
      <c r="K44" s="1019"/>
    </row>
    <row r="45" spans="1:12">
      <c r="E45" s="1187"/>
      <c r="F45" s="1187"/>
      <c r="G45" s="1187"/>
      <c r="H45" s="1187"/>
      <c r="J45" s="1183"/>
    </row>
    <row r="46" spans="1:12" ht="15">
      <c r="A46" s="1189" t="s">
        <v>332</v>
      </c>
      <c r="E46" s="1187"/>
      <c r="F46" s="1187"/>
      <c r="G46" s="1187"/>
      <c r="H46" s="1160"/>
    </row>
    <row r="47" spans="1:12" ht="15">
      <c r="A47" s="1189"/>
      <c r="B47" s="1190" t="s">
        <v>708</v>
      </c>
      <c r="C47" s="1190" t="s">
        <v>726</v>
      </c>
      <c r="D47" s="1191" t="s">
        <v>727</v>
      </c>
      <c r="E47" s="1190" t="s">
        <v>709</v>
      </c>
      <c r="F47" s="1191" t="s">
        <v>710</v>
      </c>
      <c r="G47" s="1190" t="s">
        <v>747</v>
      </c>
      <c r="H47" s="1190" t="s">
        <v>755</v>
      </c>
    </row>
    <row r="48" spans="1:12">
      <c r="A48" s="720">
        <f>+A42+1</f>
        <v>29</v>
      </c>
      <c r="B48" s="1192" t="str">
        <f>"Annual Interest Expense for "&amp;TCOS!L4</f>
        <v>Annual Interest Expense for 2022</v>
      </c>
      <c r="C48" s="1193"/>
      <c r="D48" s="1194"/>
      <c r="E48" s="1195"/>
      <c r="F48" s="1195"/>
      <c r="G48" s="1195"/>
      <c r="H48" s="1195"/>
      <c r="I48" s="1195"/>
      <c r="J48" s="1195"/>
      <c r="K48" s="1195"/>
      <c r="L48" s="1195"/>
    </row>
    <row r="49" spans="1:12">
      <c r="A49" s="720">
        <f>+A48+1</f>
        <v>30</v>
      </c>
      <c r="B49" s="1268" t="s">
        <v>774</v>
      </c>
      <c r="C49" s="1193"/>
      <c r="D49" s="1194"/>
      <c r="E49" s="1197">
        <v>30116980</v>
      </c>
      <c r="F49" s="1195"/>
      <c r="G49" s="1195"/>
      <c r="H49" s="1195"/>
      <c r="I49" s="1195"/>
      <c r="J49" s="1195"/>
      <c r="K49" s="1195"/>
      <c r="L49" s="1195"/>
    </row>
    <row r="50" spans="1:12" ht="28.5" customHeight="1">
      <c r="A50" s="720">
        <f t="shared" ref="A50:A55" si="5">+A49+1</f>
        <v>31</v>
      </c>
      <c r="B50" s="1582" t="str">
        <f>"Less: Total Hedge Gain/Expense Accumulated from p 256-257, col. (i) of FERC Form 1  included in Ln "&amp;A49&amp;" and shown in "&amp;A68&amp;" below."</f>
        <v>Less: Total Hedge Gain/Expense Accumulated from p 256-257, col. (i) of FERC Form 1  included in Ln 30 and shown in 43 below.</v>
      </c>
      <c r="C50" s="1583"/>
      <c r="D50" s="1194"/>
      <c r="E50" s="1193">
        <f>+C68</f>
        <v>0</v>
      </c>
      <c r="F50" s="1195"/>
      <c r="G50" s="1195"/>
      <c r="H50" s="1195"/>
      <c r="I50" s="1195"/>
      <c r="J50" s="1195"/>
      <c r="K50" s="1195"/>
      <c r="L50" s="1195"/>
    </row>
    <row r="51" spans="1:12">
      <c r="A51" s="720">
        <f t="shared" si="5"/>
        <v>32</v>
      </c>
      <c r="B51" s="1268" t="s">
        <v>775</v>
      </c>
      <c r="C51" s="1269"/>
      <c r="D51" s="1198"/>
      <c r="E51" s="1197">
        <v>470560.68</v>
      </c>
      <c r="F51" s="1195"/>
      <c r="G51" s="1195"/>
      <c r="H51" s="1195"/>
      <c r="I51" s="1195"/>
      <c r="J51" s="1195"/>
    </row>
    <row r="52" spans="1:12">
      <c r="A52" s="720">
        <f t="shared" si="5"/>
        <v>33</v>
      </c>
      <c r="B52" s="1268" t="s">
        <v>776</v>
      </c>
      <c r="C52" s="1199"/>
      <c r="D52" s="1194"/>
      <c r="E52" s="1197"/>
      <c r="F52" s="1195"/>
      <c r="G52" s="1195"/>
      <c r="H52" s="1195"/>
      <c r="I52" s="1195"/>
      <c r="J52" s="1195"/>
    </row>
    <row r="53" spans="1:12">
      <c r="A53" s="720">
        <f t="shared" si="5"/>
        <v>34</v>
      </c>
      <c r="B53" s="1268" t="s">
        <v>777</v>
      </c>
      <c r="C53" s="1199"/>
      <c r="D53" s="1194"/>
      <c r="E53" s="1197">
        <v>24506.16</v>
      </c>
      <c r="F53" s="1195"/>
      <c r="G53" s="1195"/>
      <c r="H53" s="1195"/>
      <c r="I53" s="1195"/>
      <c r="J53" s="1195"/>
    </row>
    <row r="54" spans="1:12" ht="13.5" thickBot="1">
      <c r="A54" s="720">
        <f t="shared" si="5"/>
        <v>35</v>
      </c>
      <c r="B54" s="1268" t="s">
        <v>778</v>
      </c>
      <c r="C54" s="1199"/>
      <c r="D54" s="1194"/>
      <c r="E54" s="1200"/>
      <c r="F54" s="1195"/>
      <c r="G54" s="1195"/>
      <c r="H54" s="1195"/>
      <c r="I54" s="1195"/>
      <c r="J54" s="1195"/>
    </row>
    <row r="55" spans="1:12">
      <c r="A55" s="720">
        <f t="shared" si="5"/>
        <v>36</v>
      </c>
      <c r="B55" s="1192" t="str">
        <f>"Total Interest Expense (Ln "&amp;A49&amp;" - "&amp;A50&amp;" + "&amp;A51&amp;" + "&amp;A52&amp;" - "&amp;A53&amp;" - "&amp;A54&amp;")"</f>
        <v>Total Interest Expense (Ln 30 - 31 + 32 + 33 - 34 - 35)</v>
      </c>
      <c r="C55" s="1201"/>
      <c r="D55" s="1202"/>
      <c r="E55" s="1203">
        <f>+E49-E50+E51+E52-E53-E54</f>
        <v>30563034.52</v>
      </c>
      <c r="F55" s="1195"/>
      <c r="G55" s="1195"/>
      <c r="H55" s="1195"/>
      <c r="I55" s="1195"/>
      <c r="J55" s="1195"/>
    </row>
    <row r="56" spans="1:12" ht="13.5" thickBot="1">
      <c r="A56" s="720"/>
      <c r="B56" s="1196"/>
      <c r="C56" s="1199"/>
      <c r="D56" s="1194"/>
      <c r="E56" s="1204"/>
      <c r="F56" s="1195"/>
      <c r="G56" s="1195"/>
      <c r="H56" s="1195"/>
      <c r="I56" s="1195"/>
      <c r="J56" s="1195"/>
    </row>
    <row r="57" spans="1:12" ht="13.5" thickBot="1">
      <c r="A57" s="720">
        <f>+A55+1</f>
        <v>37</v>
      </c>
      <c r="B57" s="1192" t="str">
        <f>"Average Cost of Debt for "&amp;TCOS!L4&amp;" (Ln "&amp;A55&amp;"/ ln "&amp;A42&amp;" (g))"</f>
        <v>Average Cost of Debt for 2022 (Ln 36/ ln 28 (g))</v>
      </c>
      <c r="C57" s="1201"/>
      <c r="D57" s="1194"/>
      <c r="E57" s="1205">
        <f>+E55/H42</f>
        <v>3.6458684207821758E-2</v>
      </c>
      <c r="F57" s="1195"/>
      <c r="G57" s="1195"/>
      <c r="H57" s="1195"/>
      <c r="I57" s="1195"/>
      <c r="J57" s="1195"/>
    </row>
    <row r="58" spans="1:12">
      <c r="A58" s="1206"/>
      <c r="B58" s="1196"/>
      <c r="C58" s="1199"/>
      <c r="D58" s="1194"/>
      <c r="E58" s="1199"/>
      <c r="F58" s="1195"/>
      <c r="G58" s="1195"/>
      <c r="H58" s="1195"/>
      <c r="I58" s="1195"/>
      <c r="J58" s="1195"/>
    </row>
    <row r="59" spans="1:12" ht="16.5" customHeight="1">
      <c r="A59" s="1207"/>
      <c r="B59" s="1584" t="s">
        <v>756</v>
      </c>
      <c r="C59" s="1584"/>
      <c r="D59" s="1584"/>
      <c r="E59" s="1584"/>
      <c r="F59" s="1208"/>
      <c r="G59" s="1195"/>
      <c r="H59" s="1195"/>
      <c r="I59" s="1195"/>
      <c r="J59" s="1195"/>
    </row>
    <row r="60" spans="1:12" ht="21" customHeight="1">
      <c r="A60" s="1209">
        <f>+A57+1</f>
        <v>38</v>
      </c>
      <c r="B60" s="1585" t="str">
        <f>""&amp;A4&amp;" may not include costs (or gains) related to interest hedging activities."</f>
        <v>West Virginia Transmission Company may not include costs (or gains) related to interest hedging activities.</v>
      </c>
      <c r="C60" s="1585"/>
      <c r="D60" s="1585"/>
      <c r="E60" s="1585"/>
      <c r="F60" s="1585"/>
      <c r="G60" s="1210"/>
      <c r="H60" s="1210"/>
      <c r="I60" s="1195"/>
      <c r="J60" s="1195"/>
    </row>
    <row r="61" spans="1:12">
      <c r="A61" s="1211"/>
      <c r="B61" s="1212"/>
      <c r="C61" s="1212"/>
      <c r="D61" s="1212"/>
      <c r="E61" s="1586" t="s">
        <v>219</v>
      </c>
      <c r="F61" s="1586"/>
      <c r="G61" s="1019"/>
      <c r="H61" s="1019"/>
      <c r="I61" s="1195"/>
      <c r="J61" s="1195"/>
    </row>
    <row r="62" spans="1:12" ht="38.25">
      <c r="A62" s="720"/>
      <c r="B62" s="1214" t="s">
        <v>220</v>
      </c>
      <c r="C62" s="1214" t="str">
        <f>"(Amortization of (Gain)/Loss for "&amp;TCOS!L4</f>
        <v>(Amortization of (Gain)/Loss for 2022</v>
      </c>
      <c r="D62" s="1213" t="s">
        <v>221</v>
      </c>
      <c r="E62" s="1213" t="s">
        <v>78</v>
      </c>
      <c r="F62" s="1213" t="s">
        <v>80</v>
      </c>
      <c r="G62" s="1019"/>
      <c r="H62" s="1019"/>
      <c r="I62" s="1195"/>
      <c r="J62" s="1195"/>
    </row>
    <row r="63" spans="1:12">
      <c r="A63" s="720">
        <f>+A60+1</f>
        <v>39</v>
      </c>
      <c r="B63" s="1215"/>
      <c r="C63" s="1181"/>
      <c r="D63" s="1215"/>
      <c r="E63" s="1215"/>
      <c r="F63" s="1216"/>
      <c r="G63" s="1019"/>
      <c r="H63" s="1019"/>
      <c r="I63" s="1198"/>
      <c r="J63" s="1198"/>
    </row>
    <row r="64" spans="1:12">
      <c r="A64" s="720">
        <f>+A63+1</f>
        <v>40</v>
      </c>
      <c r="B64" s="1215"/>
      <c r="C64" s="1181"/>
      <c r="D64" s="1215"/>
      <c r="E64" s="1215"/>
      <c r="F64" s="1216"/>
      <c r="G64" s="1217"/>
      <c r="H64" s="1217"/>
      <c r="I64" s="1195"/>
      <c r="J64" s="1195"/>
    </row>
    <row r="65" spans="1:10">
      <c r="A65" s="720">
        <f>+A64+1</f>
        <v>41</v>
      </c>
      <c r="B65" s="1215"/>
      <c r="C65" s="1181"/>
      <c r="D65" s="1218"/>
      <c r="E65" s="1218"/>
      <c r="F65" s="1216"/>
      <c r="G65" s="1217"/>
      <c r="H65" s="1217"/>
      <c r="I65" s="1195"/>
      <c r="J65" s="1195"/>
    </row>
    <row r="66" spans="1:10">
      <c r="A66" s="720">
        <f>+A65+1</f>
        <v>42</v>
      </c>
      <c r="B66" s="1215"/>
      <c r="C66" s="1181"/>
      <c r="D66" s="1218"/>
      <c r="E66" s="1218"/>
      <c r="F66" s="1219"/>
      <c r="G66" s="1220"/>
      <c r="H66" s="1221"/>
      <c r="I66" s="1195"/>
      <c r="J66" s="1195"/>
    </row>
    <row r="67" spans="1:10">
      <c r="A67" s="720"/>
      <c r="B67" s="1222"/>
      <c r="C67" s="1223"/>
      <c r="D67" s="1223"/>
      <c r="E67" s="1224"/>
      <c r="F67" s="1195"/>
      <c r="G67" s="1225"/>
      <c r="H67" s="1225"/>
    </row>
    <row r="68" spans="1:10">
      <c r="A68" s="720">
        <f>+A66+1</f>
        <v>43</v>
      </c>
      <c r="B68" s="1226" t="s">
        <v>245</v>
      </c>
      <c r="C68" s="1204">
        <f>SUM(C63:C67)</f>
        <v>0</v>
      </c>
      <c r="D68" s="1204">
        <f>SUM(D63:D67)</f>
        <v>0</v>
      </c>
      <c r="E68" s="1204">
        <f>SUM(E63:E67)</f>
        <v>0</v>
      </c>
      <c r="F68" s="1227">
        <f>SUM(F63:F67)</f>
        <v>0</v>
      </c>
      <c r="G68" s="1195"/>
      <c r="H68" s="1195"/>
    </row>
    <row r="69" spans="1:10">
      <c r="A69" s="720"/>
      <c r="B69" s="1196"/>
      <c r="C69" s="1204"/>
      <c r="D69" s="1204"/>
      <c r="E69" s="1204"/>
      <c r="F69" s="1195"/>
      <c r="G69" s="1195"/>
      <c r="H69" s="1195"/>
    </row>
    <row r="70" spans="1:10">
      <c r="A70" s="720"/>
      <c r="B70" s="1192"/>
      <c r="C70" s="1199"/>
      <c r="D70" s="1194"/>
      <c r="E70" s="1228"/>
      <c r="F70" s="1195"/>
      <c r="G70" s="1195"/>
      <c r="H70" s="1195"/>
    </row>
    <row r="71" spans="1:10">
      <c r="A71" s="720"/>
      <c r="B71" s="1192"/>
      <c r="C71" s="1199"/>
      <c r="D71" s="1194"/>
      <c r="E71" s="1228"/>
      <c r="F71" s="1195"/>
      <c r="G71" s="1195"/>
      <c r="H71" s="1195"/>
    </row>
    <row r="72" spans="1:10" ht="15">
      <c r="A72" s="1229" t="s">
        <v>337</v>
      </c>
      <c r="B72" s="1192"/>
      <c r="C72" s="1199"/>
      <c r="D72" s="1194"/>
      <c r="E72" s="1228"/>
      <c r="F72" s="1195"/>
      <c r="G72" s="1195"/>
      <c r="H72" s="1195"/>
    </row>
    <row r="73" spans="1:10">
      <c r="A73" s="720"/>
      <c r="B73" s="1192"/>
      <c r="C73" s="1199"/>
      <c r="D73" s="1194"/>
      <c r="E73" s="1228"/>
      <c r="F73" s="1195"/>
      <c r="G73" s="1195"/>
      <c r="H73" s="1195"/>
    </row>
    <row r="74" spans="1:10">
      <c r="A74" s="1230">
        <f>+A68+1</f>
        <v>44</v>
      </c>
      <c r="B74" s="1194" t="str">
        <f>"Balance of Preferred Stock (Line "&amp;A23&amp;" (c))"</f>
        <v>Balance of Preferred Stock (Line 14 (c))</v>
      </c>
      <c r="E74" s="1231">
        <f>+D23</f>
        <v>0</v>
      </c>
    </row>
    <row r="75" spans="1:10">
      <c r="A75" s="720">
        <f>+A74+1</f>
        <v>45</v>
      </c>
      <c r="B75" s="1194" t="s">
        <v>757</v>
      </c>
      <c r="E75" s="1219"/>
    </row>
    <row r="76" spans="1:10">
      <c r="A76" s="720">
        <f>+A75+1</f>
        <v>46</v>
      </c>
      <c r="B76" s="1232" t="str">
        <f>"Average Cost of Preferred Stock (Ln "&amp;A75&amp;" / ln "&amp;A74&amp;")"</f>
        <v>Average Cost of Preferred Stock (Ln 45 / ln 44)</v>
      </c>
      <c r="E76" s="1233"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U34"/>
  <sheetViews>
    <sheetView view="pageBreakPreview" zoomScale="60" zoomScaleNormal="81" workbookViewId="0">
      <selection activeCell="AA31" sqref="AA31"/>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8" t="s">
        <v>408</v>
      </c>
    </row>
    <row r="2" spans="1:21" ht="15.75">
      <c r="A2" s="1008" t="s">
        <v>408</v>
      </c>
    </row>
    <row r="3" spans="1:21" ht="18">
      <c r="A3" s="1566" t="str">
        <f>TCOS!$F$5</f>
        <v>AEPTCo subsidiaries in PJM</v>
      </c>
      <c r="B3" s="1566" t="str">
        <f>TCOS!$F$5</f>
        <v>AEPTCo subsidiaries in PJM</v>
      </c>
      <c r="C3" s="1566" t="str">
        <f>TCOS!$F$5</f>
        <v>AEPTCo subsidiaries in PJM</v>
      </c>
      <c r="D3" s="1566" t="str">
        <f>TCOS!$F$5</f>
        <v>AEPTCo subsidiaries in PJM</v>
      </c>
      <c r="E3" s="1566" t="str">
        <f>TCOS!$F$5</f>
        <v>AEPTCo subsidiaries in PJM</v>
      </c>
      <c r="F3" s="1566" t="str">
        <f>TCOS!$F$5</f>
        <v>AEPTCo subsidiaries in PJM</v>
      </c>
      <c r="G3" s="1566" t="str">
        <f>TCOS!$F$5</f>
        <v>AEPTCo subsidiaries in PJM</v>
      </c>
      <c r="H3" s="1566" t="str">
        <f>TCOS!$F$5</f>
        <v>AEPTCo subsidiaries in PJM</v>
      </c>
      <c r="I3" s="1566" t="str">
        <f>TCOS!$F$5</f>
        <v>AEPTCo subsidiaries in PJM</v>
      </c>
      <c r="J3" s="1566" t="str">
        <f>TCOS!$F$5</f>
        <v>AEPTCo subsidiaries in PJM</v>
      </c>
      <c r="K3" s="1566" t="str">
        <f>TCOS!$F$5</f>
        <v>AEPTCo subsidiaries in PJM</v>
      </c>
      <c r="L3" s="1566" t="str">
        <f>TCOS!$F$5</f>
        <v>AEPTCo subsidiaries in PJM</v>
      </c>
      <c r="M3" s="1566" t="str">
        <f>TCOS!$F$5</f>
        <v>AEPTCo subsidiaries in PJM</v>
      </c>
      <c r="N3" s="1566" t="str">
        <f>TCOS!$F$5</f>
        <v>AEPTCo subsidiaries in PJM</v>
      </c>
      <c r="O3" s="1566" t="str">
        <f>TCOS!$F$5</f>
        <v>AEPTCo subsidiaries in PJM</v>
      </c>
    </row>
    <row r="4" spans="1:21" ht="18">
      <c r="A4" s="1565" t="str">
        <f>"Cost of Service Formula Rate Using Actual/Projected FF1 Balances"</f>
        <v>Cost of Service Formula Rate Using Actual/Projected FF1 Balances</v>
      </c>
      <c r="B4" s="1565"/>
      <c r="C4" s="1565"/>
      <c r="D4" s="1565"/>
      <c r="E4" s="1565"/>
      <c r="F4" s="1565"/>
      <c r="G4" s="1565"/>
      <c r="H4" s="1565"/>
      <c r="I4" s="1565"/>
      <c r="J4" s="1565"/>
      <c r="K4" s="1565"/>
      <c r="L4" s="1565"/>
      <c r="M4" s="1565"/>
      <c r="N4" s="1565"/>
      <c r="O4" s="1565"/>
    </row>
    <row r="5" spans="1:21" ht="18">
      <c r="A5" s="1565" t="s">
        <v>24</v>
      </c>
      <c r="B5" s="1565"/>
      <c r="C5" s="1565"/>
      <c r="D5" s="1565"/>
      <c r="E5" s="1565"/>
      <c r="F5" s="1565"/>
      <c r="G5" s="1565"/>
      <c r="H5" s="1565"/>
      <c r="I5" s="1565"/>
      <c r="J5" s="1565"/>
      <c r="K5" s="1565"/>
      <c r="L5" s="1565"/>
      <c r="M5" s="1565"/>
      <c r="N5" s="1565"/>
      <c r="O5" s="1565"/>
    </row>
    <row r="6" spans="1:21" ht="18">
      <c r="A6" s="1557" t="str">
        <f>+TCOS!F9</f>
        <v>West Virginia Transmission Company</v>
      </c>
      <c r="B6" s="1557"/>
      <c r="C6" s="1557"/>
      <c r="D6" s="1557"/>
      <c r="E6" s="1557"/>
      <c r="F6" s="1557"/>
      <c r="G6" s="1557"/>
      <c r="H6" s="1557"/>
      <c r="I6" s="1557"/>
      <c r="J6" s="1557"/>
      <c r="K6" s="1557"/>
      <c r="L6" s="1557"/>
      <c r="M6" s="1557"/>
      <c r="N6" s="1557"/>
      <c r="O6" s="1557"/>
    </row>
    <row r="7" spans="1:21" ht="12.75" customHeight="1">
      <c r="A7" s="81"/>
      <c r="B7" s="81"/>
      <c r="C7" s="81"/>
      <c r="D7" s="81"/>
      <c r="E7" s="81"/>
      <c r="F7" s="81"/>
      <c r="G7" s="81"/>
      <c r="H7" s="81"/>
      <c r="I7" s="81"/>
      <c r="J7" s="81"/>
      <c r="K7" s="81"/>
      <c r="L7" s="81"/>
    </row>
    <row r="8" spans="1:21" ht="12.75" customHeight="1">
      <c r="A8" s="1595" t="s">
        <v>16</v>
      </c>
      <c r="B8" s="1595"/>
      <c r="C8" s="1595"/>
      <c r="D8" s="1595"/>
      <c r="E8" s="1595"/>
      <c r="F8" s="1595"/>
      <c r="G8" s="1595"/>
      <c r="H8" s="1595"/>
      <c r="I8" s="1595"/>
      <c r="J8" s="1595"/>
      <c r="K8" s="1595"/>
      <c r="L8" s="1595"/>
      <c r="M8" s="1595"/>
      <c r="N8" s="1595"/>
      <c r="O8" s="1595"/>
    </row>
    <row r="9" spans="1:21" ht="12.75" customHeight="1">
      <c r="A9" s="1595"/>
      <c r="B9" s="1595"/>
      <c r="C9" s="1595"/>
      <c r="D9" s="1595"/>
      <c r="E9" s="1595"/>
      <c r="F9" s="1595"/>
      <c r="G9" s="1595"/>
      <c r="H9" s="1595"/>
      <c r="I9" s="1595"/>
      <c r="J9" s="1595"/>
      <c r="K9" s="1595"/>
      <c r="L9" s="1595"/>
      <c r="M9" s="1595"/>
      <c r="N9" s="1595"/>
      <c r="O9" s="1595"/>
    </row>
    <row r="10" spans="1:21">
      <c r="A10" s="1595"/>
      <c r="B10" s="1595"/>
      <c r="C10" s="1595"/>
      <c r="D10" s="1595"/>
      <c r="E10" s="1595"/>
      <c r="F10" s="1595"/>
      <c r="G10" s="1595"/>
      <c r="H10" s="1595"/>
      <c r="I10" s="1595"/>
      <c r="J10" s="1595"/>
      <c r="K10" s="1595"/>
      <c r="L10" s="1595"/>
      <c r="M10" s="1595"/>
      <c r="N10" s="1595"/>
      <c r="O10" s="1595"/>
    </row>
    <row r="11" spans="1:21">
      <c r="A11" s="1595"/>
      <c r="B11" s="1595"/>
      <c r="C11" s="1595"/>
      <c r="D11" s="1595"/>
      <c r="E11" s="1595"/>
      <c r="F11" s="1595"/>
      <c r="G11" s="1595"/>
      <c r="H11" s="1595"/>
      <c r="I11" s="1595"/>
      <c r="J11" s="1595"/>
      <c r="K11" s="1595"/>
      <c r="L11" s="1595"/>
      <c r="M11" s="1595"/>
      <c r="N11" s="1595"/>
      <c r="O11" s="1595"/>
    </row>
    <row r="12" spans="1:21">
      <c r="B12" s="1" t="s">
        <v>454</v>
      </c>
      <c r="C12" s="1"/>
      <c r="D12" s="1564" t="s">
        <v>455</v>
      </c>
      <c r="E12" s="1564"/>
      <c r="F12" s="1564"/>
      <c r="G12" s="1564"/>
      <c r="H12" s="1"/>
      <c r="I12" s="1" t="s">
        <v>323</v>
      </c>
      <c r="J12" s="1"/>
      <c r="K12" s="1" t="s">
        <v>457</v>
      </c>
      <c r="L12" s="1"/>
      <c r="M12" s="1" t="s">
        <v>377</v>
      </c>
      <c r="N12" s="1"/>
      <c r="O12" s="1" t="s">
        <v>378</v>
      </c>
      <c r="P12" s="1"/>
      <c r="Q12" s="1" t="s">
        <v>349</v>
      </c>
      <c r="R12" s="1"/>
      <c r="S12" s="1" t="s">
        <v>384</v>
      </c>
      <c r="U12" s="56" t="s">
        <v>288</v>
      </c>
    </row>
    <row r="13" spans="1:21">
      <c r="I13" s="1592" t="s">
        <v>347</v>
      </c>
      <c r="Q13" s="1591" t="s">
        <v>348</v>
      </c>
      <c r="S13" s="1592" t="s">
        <v>350</v>
      </c>
      <c r="U13" s="139" t="s">
        <v>265</v>
      </c>
    </row>
    <row r="14" spans="1:21">
      <c r="A14" s="84" t="s">
        <v>346</v>
      </c>
      <c r="B14" s="84" t="s">
        <v>342</v>
      </c>
      <c r="C14" s="84"/>
      <c r="D14" s="102" t="s">
        <v>343</v>
      </c>
      <c r="E14" s="84"/>
      <c r="F14" s="84"/>
      <c r="G14" s="84"/>
      <c r="H14" s="84"/>
      <c r="I14" s="1594"/>
      <c r="J14" s="84"/>
      <c r="K14" s="84" t="s">
        <v>344</v>
      </c>
      <c r="L14" s="84"/>
      <c r="M14" s="84" t="s">
        <v>345</v>
      </c>
      <c r="N14" s="84"/>
      <c r="O14" s="84" t="s">
        <v>282</v>
      </c>
      <c r="Q14" s="1591"/>
      <c r="S14" s="1592"/>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8"/>
      <c r="D17" s="1593"/>
      <c r="E17" s="1593"/>
      <c r="F17" s="1593"/>
      <c r="G17" s="1593"/>
      <c r="I17" s="859"/>
      <c r="K17" s="857"/>
      <c r="L17" s="75"/>
      <c r="M17" s="857"/>
      <c r="O17" s="88">
        <f>+K17-M17</f>
        <v>0</v>
      </c>
      <c r="Q17" s="104">
        <f>IF(I17="G",TCOS!L219,IF(I17="T",1,0))</f>
        <v>0</v>
      </c>
      <c r="S17" s="88">
        <f>ROUND(O17*Q17,0)</f>
        <v>0</v>
      </c>
      <c r="U17" s="860"/>
    </row>
    <row r="18" spans="1:21">
      <c r="A18" s="1"/>
      <c r="D18" s="1593"/>
      <c r="E18" s="1593"/>
      <c r="F18" s="1593"/>
      <c r="G18" s="1593"/>
      <c r="K18" s="75"/>
      <c r="L18" s="75"/>
      <c r="M18" s="75"/>
      <c r="O18" s="75"/>
      <c r="Q18" s="104"/>
      <c r="S18" s="75"/>
    </row>
    <row r="19" spans="1:21">
      <c r="A19" s="1"/>
      <c r="D19" s="1593"/>
      <c r="E19" s="1593"/>
      <c r="F19" s="1593"/>
      <c r="G19" s="1593"/>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93"/>
      <c r="E22" s="1593"/>
      <c r="F22" s="1593"/>
      <c r="G22" s="1593"/>
      <c r="I22" s="859"/>
      <c r="K22" s="857"/>
      <c r="L22" s="75"/>
      <c r="M22" s="857"/>
      <c r="O22" s="88">
        <f>+K22-M22</f>
        <v>0</v>
      </c>
      <c r="Q22" s="104">
        <f>IF(I22="G",TCOS!L219,IF(I22="T",1,0))</f>
        <v>0</v>
      </c>
      <c r="S22" s="88">
        <f>ROUND(O22*Q22,0)</f>
        <v>0</v>
      </c>
      <c r="U22" s="860"/>
    </row>
    <row r="23" spans="1:21">
      <c r="A23" s="1"/>
      <c r="D23" s="1593"/>
      <c r="E23" s="1593"/>
      <c r="F23" s="1593"/>
      <c r="G23" s="1593"/>
      <c r="K23" s="75"/>
      <c r="L23" s="75"/>
      <c r="M23" s="75"/>
      <c r="O23" s="75"/>
      <c r="Q23" s="104"/>
      <c r="S23" s="75"/>
    </row>
    <row r="24" spans="1:21">
      <c r="A24" s="1"/>
      <c r="D24" s="1593"/>
      <c r="E24" s="1593"/>
      <c r="F24" s="1593"/>
      <c r="G24" s="1593"/>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93"/>
      <c r="E27" s="1593"/>
      <c r="F27" s="1593"/>
      <c r="G27" s="1593"/>
      <c r="I27" s="859"/>
      <c r="K27" s="857"/>
      <c r="L27" s="75"/>
      <c r="M27" s="857"/>
      <c r="O27" s="88">
        <f>+K27-M27</f>
        <v>0</v>
      </c>
      <c r="Q27" s="104">
        <f>IF(I27="G",TCOS!L219,IF(I27="T",1,0))</f>
        <v>0</v>
      </c>
      <c r="S27" s="88">
        <f>ROUND(O27*Q27,0)</f>
        <v>0</v>
      </c>
      <c r="U27" s="860"/>
    </row>
    <row r="28" spans="1:21">
      <c r="A28" s="1"/>
      <c r="D28" s="1593"/>
      <c r="E28" s="1593"/>
      <c r="F28" s="1593"/>
      <c r="G28" s="1593"/>
      <c r="K28" s="75"/>
      <c r="L28" s="75"/>
      <c r="M28" s="75"/>
      <c r="O28" s="75"/>
      <c r="Q28" s="104"/>
      <c r="S28" s="75"/>
    </row>
    <row r="29" spans="1:21">
      <c r="A29" s="1"/>
      <c r="D29" s="1593"/>
      <c r="E29" s="1593"/>
      <c r="F29" s="1593"/>
      <c r="G29" s="1593"/>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theme="0" tint="-0.14999847407452621"/>
  </sheetPr>
  <dimension ref="A1:F37"/>
  <sheetViews>
    <sheetView view="pageBreakPreview" topLeftCell="A4" zoomScale="90" zoomScaleNormal="80" zoomScaleSheetLayoutView="90" workbookViewId="0">
      <selection activeCell="D16" sqref="D16"/>
    </sheetView>
  </sheetViews>
  <sheetFormatPr defaultColWidth="11.42578125" defaultRowHeight="12.75"/>
  <cols>
    <col min="1" max="1" width="37.85546875" style="1272" customWidth="1"/>
    <col min="2" max="2" width="25.42578125" style="1272" customWidth="1"/>
    <col min="3" max="3" width="53.42578125" style="1272" customWidth="1"/>
    <col min="4" max="4" width="18.42578125" style="1272" customWidth="1"/>
    <col min="5" max="5" width="11.42578125" style="1272" customWidth="1"/>
    <col min="6" max="6" width="13.7109375" style="1272" bestFit="1" customWidth="1"/>
    <col min="7" max="16384" width="11.42578125" style="1272"/>
  </cols>
  <sheetData>
    <row r="1" spans="1:6" ht="15.75">
      <c r="A1" s="1271" t="s">
        <v>408</v>
      </c>
    </row>
    <row r="2" spans="1:6" ht="15.75">
      <c r="A2" s="1271" t="s">
        <v>408</v>
      </c>
    </row>
    <row r="3" spans="1:6" ht="15.75">
      <c r="A3" s="1597" t="str">
        <f>TCOS!F5</f>
        <v>AEPTCo subsidiaries in PJM</v>
      </c>
      <c r="B3" s="1597" t="s">
        <v>321</v>
      </c>
      <c r="C3" s="1597" t="s">
        <v>321</v>
      </c>
      <c r="D3" s="1597" t="s">
        <v>321</v>
      </c>
    </row>
    <row r="4" spans="1:6" ht="15.75">
      <c r="A4" s="1597" t="str">
        <f>"Cost of Service Formula Rate Using Actual/Projected FF1 Balances"</f>
        <v>Cost of Service Formula Rate Using Actual/Projected FF1 Balances</v>
      </c>
      <c r="B4" s="1597"/>
      <c r="C4" s="1597"/>
      <c r="D4" s="1597"/>
    </row>
    <row r="5" spans="1:6" ht="15.75">
      <c r="A5" s="1597" t="s">
        <v>781</v>
      </c>
      <c r="B5" s="1597"/>
      <c r="C5" s="1597"/>
      <c r="D5" s="1597"/>
    </row>
    <row r="6" spans="1:6" ht="15.75">
      <c r="A6" s="1597" t="s">
        <v>782</v>
      </c>
      <c r="B6" s="1597"/>
      <c r="C6" s="1597"/>
      <c r="D6" s="1597"/>
    </row>
    <row r="7" spans="1:6" ht="15.75">
      <c r="A7" s="1598" t="str">
        <f>TCOS!F9</f>
        <v>West Virginia Transmission Company</v>
      </c>
      <c r="B7" s="1598"/>
      <c r="C7" s="1598"/>
      <c r="D7" s="1598"/>
    </row>
    <row r="8" spans="1:6" ht="15.75">
      <c r="A8" s="1274"/>
      <c r="B8" s="1275"/>
      <c r="C8" s="1275"/>
      <c r="D8" s="1275"/>
    </row>
    <row r="9" spans="1:6" ht="15.75">
      <c r="A9" s="1276"/>
      <c r="B9" s="1277"/>
      <c r="C9" s="1277"/>
      <c r="D9" s="1277"/>
    </row>
    <row r="10" spans="1:6" ht="15.75">
      <c r="A10" s="1278"/>
      <c r="B10" s="1278"/>
      <c r="C10" s="1278"/>
      <c r="D10" s="1278"/>
    </row>
    <row r="11" spans="1:6" ht="15.75">
      <c r="A11" s="1279" t="s">
        <v>783</v>
      </c>
      <c r="B11" s="1277" t="s">
        <v>454</v>
      </c>
      <c r="C11" s="1280"/>
      <c r="D11" s="1277" t="s">
        <v>455</v>
      </c>
    </row>
    <row r="12" spans="1:6" ht="15.75">
      <c r="A12" s="1273">
        <f>1</f>
        <v>1</v>
      </c>
      <c r="B12" s="1281" t="s">
        <v>784</v>
      </c>
      <c r="C12" s="1282"/>
      <c r="D12" s="1273"/>
    </row>
    <row r="13" spans="1:6" ht="15.75">
      <c r="A13" s="1273"/>
      <c r="B13" s="1281"/>
      <c r="C13" s="1282"/>
      <c r="D13" s="1273"/>
    </row>
    <row r="14" spans="1:6" ht="15.75">
      <c r="A14" s="1273"/>
      <c r="B14" s="1283"/>
      <c r="C14" s="1283"/>
      <c r="D14" s="1283"/>
    </row>
    <row r="15" spans="1:6" ht="15.75">
      <c r="A15" s="1273">
        <f>A12+1</f>
        <v>2</v>
      </c>
      <c r="B15" s="1284" t="s">
        <v>785</v>
      </c>
      <c r="C15" s="1285"/>
      <c r="D15" s="1286"/>
    </row>
    <row r="16" spans="1:6" ht="15.75">
      <c r="A16" s="1273">
        <f t="shared" ref="A16:A23" si="0">+A15+1</f>
        <v>3</v>
      </c>
      <c r="B16" s="1287" t="s">
        <v>786</v>
      </c>
      <c r="C16" s="1287"/>
      <c r="D16" s="1437">
        <f>789694-146018568</f>
        <v>-145228874</v>
      </c>
      <c r="F16" s="1288"/>
    </row>
    <row r="17" spans="1:6" ht="15.75">
      <c r="A17" s="1273">
        <f t="shared" si="0"/>
        <v>4</v>
      </c>
      <c r="B17" s="1287" t="s">
        <v>787</v>
      </c>
      <c r="C17" s="1287"/>
      <c r="D17" s="1289">
        <v>0</v>
      </c>
      <c r="F17" s="1288"/>
    </row>
    <row r="18" spans="1:6" ht="15.75">
      <c r="A18" s="1273">
        <f t="shared" si="0"/>
        <v>5</v>
      </c>
      <c r="B18" s="1287" t="s">
        <v>788</v>
      </c>
      <c r="C18" s="1287"/>
      <c r="D18" s="1290">
        <f>+D16-D17</f>
        <v>-145228874</v>
      </c>
    </row>
    <row r="19" spans="1:6" ht="15.75">
      <c r="A19" s="1273">
        <f t="shared" si="0"/>
        <v>6</v>
      </c>
      <c r="B19" s="1287" t="s">
        <v>789</v>
      </c>
      <c r="C19" s="1287"/>
      <c r="D19" s="1437">
        <v>1538155246.0699928</v>
      </c>
    </row>
    <row r="20" spans="1:6" ht="15.75">
      <c r="A20" s="1273">
        <f t="shared" si="0"/>
        <v>7</v>
      </c>
      <c r="B20" s="1287" t="s">
        <v>790</v>
      </c>
      <c r="C20" s="1287"/>
      <c r="D20" s="1291">
        <f>+D18/D19</f>
        <v>-9.4417565698301079E-2</v>
      </c>
    </row>
    <row r="21" spans="1:6" ht="15.75">
      <c r="A21" s="1273">
        <f t="shared" si="0"/>
        <v>8</v>
      </c>
      <c r="B21" s="1287" t="s">
        <v>791</v>
      </c>
      <c r="C21" s="1287"/>
      <c r="D21" s="1317">
        <v>-4.2999999999999997E-2</v>
      </c>
      <c r="E21" s="1292"/>
    </row>
    <row r="22" spans="1:6" ht="15.75">
      <c r="A22" s="1273">
        <f t="shared" si="0"/>
        <v>9</v>
      </c>
      <c r="B22" s="1287" t="s">
        <v>792</v>
      </c>
      <c r="C22" s="1287"/>
      <c r="D22" s="1293">
        <v>5944987.3231259612</v>
      </c>
    </row>
    <row r="23" spans="1:6" ht="15.75">
      <c r="A23" s="1273">
        <f t="shared" si="0"/>
        <v>10</v>
      </c>
      <c r="B23" s="1287" t="str">
        <f>"Allowable TransCo PBOP Expense for current year (Ln "&amp;A21&amp;" * Ln "&amp;A22&amp;")"</f>
        <v>Allowable TransCo PBOP Expense for current year (Ln 8 * Ln 9)</v>
      </c>
      <c r="C23" s="1287"/>
      <c r="D23" s="1294">
        <f>+D21*D22</f>
        <v>-255634.45489441633</v>
      </c>
    </row>
    <row r="24" spans="1:6" ht="15.75">
      <c r="A24" s="1273"/>
      <c r="B24" s="1287"/>
      <c r="C24" s="1287"/>
      <c r="D24" s="1294"/>
    </row>
    <row r="25" spans="1:6" ht="15.75">
      <c r="A25" s="1273"/>
      <c r="B25" s="1287"/>
      <c r="C25" s="1287"/>
      <c r="D25" s="1294"/>
    </row>
    <row r="26" spans="1:6" ht="15.75">
      <c r="A26" s="1273">
        <f>+A23+1</f>
        <v>11</v>
      </c>
      <c r="B26" s="1295" t="s">
        <v>793</v>
      </c>
      <c r="C26" s="1287"/>
      <c r="D26" s="1296">
        <v>0</v>
      </c>
    </row>
    <row r="27" spans="1:6" ht="15.75">
      <c r="A27" s="1273">
        <f>+A26+1</f>
        <v>12</v>
      </c>
      <c r="B27" s="1297" t="s">
        <v>794</v>
      </c>
      <c r="C27" s="1287"/>
      <c r="D27" s="1296">
        <v>0</v>
      </c>
    </row>
    <row r="28" spans="1:6" ht="15.75">
      <c r="A28" s="1273">
        <f>+A27+1</f>
        <v>13</v>
      </c>
      <c r="B28" s="1297" t="s">
        <v>795</v>
      </c>
      <c r="C28" s="1287"/>
      <c r="D28" s="1296">
        <v>0</v>
      </c>
    </row>
    <row r="29" spans="1:6" ht="16.5" thickBot="1">
      <c r="A29" s="1298">
        <f>+A28+1</f>
        <v>14</v>
      </c>
      <c r="B29" s="1299" t="s">
        <v>796</v>
      </c>
      <c r="C29" s="1300"/>
      <c r="D29" s="1301">
        <v>-1128135.7919556457</v>
      </c>
    </row>
    <row r="30" spans="1:6" ht="15.75">
      <c r="A30" s="1273">
        <f>+A29+1</f>
        <v>15</v>
      </c>
      <c r="B30" s="1283" t="s">
        <v>797</v>
      </c>
      <c r="C30" s="1283" t="str">
        <f>"(Sum Lines "&amp;A26&amp;"-"&amp;A29&amp;")"</f>
        <v>(Sum Lines 11-14)</v>
      </c>
      <c r="D30" s="1302">
        <f>SUM(D26:D29)</f>
        <v>-1128135.7919556457</v>
      </c>
    </row>
    <row r="31" spans="1:6" ht="15.75">
      <c r="A31" s="1273"/>
      <c r="B31" s="1283"/>
      <c r="C31" s="1283"/>
      <c r="D31" s="1302"/>
    </row>
    <row r="32" spans="1:6" ht="15.75">
      <c r="A32" s="1273"/>
      <c r="B32" s="1283"/>
      <c r="C32" s="1283"/>
      <c r="D32" s="1302"/>
    </row>
    <row r="33" spans="1:4" s="1304" customFormat="1" ht="15.75">
      <c r="A33" s="1273">
        <f>A30+1</f>
        <v>16</v>
      </c>
      <c r="B33" s="1283" t="s">
        <v>798</v>
      </c>
      <c r="C33" s="1283" t="str">
        <f>"Line "&amp;A23&amp;" less Line "&amp;A30&amp;""</f>
        <v>Line 10 less Line 15</v>
      </c>
      <c r="D33" s="1303">
        <f>D23-D30</f>
        <v>872501.33706122939</v>
      </c>
    </row>
    <row r="34" spans="1:4" s="1304" customFormat="1" ht="15.75">
      <c r="A34" s="1273"/>
      <c r="B34" s="1283"/>
      <c r="C34" s="1283"/>
      <c r="D34" s="1303"/>
    </row>
    <row r="35" spans="1:4" ht="15.75">
      <c r="A35" s="1297" t="s">
        <v>799</v>
      </c>
    </row>
    <row r="37" spans="1:4" ht="387.75" customHeight="1">
      <c r="A37" s="1596" t="s">
        <v>800</v>
      </c>
      <c r="B37" s="1596"/>
      <c r="C37" s="1596"/>
      <c r="D37" s="1596"/>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21">
    <pageSetUpPr fitToPage="1"/>
  </sheetPr>
  <dimension ref="A1:G48"/>
  <sheetViews>
    <sheetView defaultGridColor="0" view="pageBreakPreview" colorId="22" zoomScale="60" zoomScaleNormal="70" workbookViewId="0">
      <selection activeCell="G12" sqref="G12"/>
    </sheetView>
  </sheetViews>
  <sheetFormatPr defaultColWidth="14.7109375" defaultRowHeight="15"/>
  <cols>
    <col min="1" max="1" width="5.7109375" style="862" customWidth="1"/>
    <col min="2" max="2" width="42.5703125" style="862" customWidth="1"/>
    <col min="3" max="3" width="16.28515625" style="862" bestFit="1" customWidth="1"/>
    <col min="4" max="4" width="16.85546875" style="862" customWidth="1"/>
    <col min="5" max="5" width="18" style="862" customWidth="1"/>
    <col min="6" max="7" width="16.28515625" style="862" bestFit="1" customWidth="1"/>
    <col min="8" max="8" width="14.7109375" style="862" customWidth="1"/>
    <col min="9" max="16384" width="14.7109375" style="862"/>
  </cols>
  <sheetData>
    <row r="1" spans="1:7" ht="15.75">
      <c r="A1" s="1008"/>
    </row>
    <row r="2" spans="1:7" ht="15.75">
      <c r="A2" s="1008"/>
    </row>
    <row r="3" spans="1:7" ht="19.5">
      <c r="B3" s="1601" t="s">
        <v>321</v>
      </c>
      <c r="C3" s="1601"/>
      <c r="D3" s="1601"/>
      <c r="E3" s="1601"/>
      <c r="F3" s="861"/>
      <c r="G3" s="861"/>
    </row>
    <row r="4" spans="1:7" ht="19.5">
      <c r="B4" s="1601" t="s">
        <v>216</v>
      </c>
      <c r="C4" s="1601"/>
      <c r="D4" s="1601"/>
      <c r="E4" s="1601"/>
      <c r="F4" s="861"/>
      <c r="G4" s="861"/>
    </row>
    <row r="5" spans="1:7" ht="19.5">
      <c r="B5" s="1601" t="s">
        <v>217</v>
      </c>
      <c r="C5" s="1601"/>
      <c r="D5" s="1601"/>
      <c r="E5" s="1601"/>
      <c r="F5" s="861"/>
      <c r="G5" s="861"/>
    </row>
    <row r="6" spans="1:7" ht="19.5">
      <c r="B6" s="1601" t="s">
        <v>218</v>
      </c>
      <c r="C6" s="1601"/>
      <c r="D6" s="1601"/>
      <c r="E6" s="1601"/>
      <c r="F6" s="861"/>
      <c r="G6" s="861"/>
    </row>
    <row r="7" spans="1:7" ht="19.5">
      <c r="B7" s="1602" t="s">
        <v>976</v>
      </c>
      <c r="C7" s="1602"/>
      <c r="D7" s="1602"/>
      <c r="E7" s="1602"/>
      <c r="F7" s="861"/>
      <c r="G7" s="861"/>
    </row>
    <row r="8" spans="1:7" ht="19.5">
      <c r="B8" s="1601"/>
      <c r="C8" s="1601"/>
      <c r="D8" s="1601"/>
      <c r="E8" s="1601"/>
      <c r="F8" s="861"/>
      <c r="G8" s="861"/>
    </row>
    <row r="9" spans="1:7" ht="19.5">
      <c r="B9" s="1603" t="s">
        <v>823</v>
      </c>
      <c r="C9" s="1494"/>
      <c r="D9" s="1494"/>
      <c r="E9" s="1494"/>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287</v>
      </c>
    </row>
    <row r="15" spans="1:7">
      <c r="B15" s="867" t="s">
        <v>36</v>
      </c>
      <c r="C15" s="868"/>
      <c r="D15" s="131"/>
    </row>
    <row r="16" spans="1:7">
      <c r="B16" s="869"/>
      <c r="C16" s="870"/>
      <c r="D16" s="132"/>
    </row>
    <row r="17" spans="2:5">
      <c r="B17" s="871" t="s">
        <v>963</v>
      </c>
      <c r="C17" s="153">
        <v>351</v>
      </c>
      <c r="D17" s="1319">
        <v>0</v>
      </c>
      <c r="E17" s="872"/>
    </row>
    <row r="18" spans="2:5">
      <c r="B18" s="873" t="s">
        <v>964</v>
      </c>
      <c r="C18" s="153">
        <v>352</v>
      </c>
      <c r="D18" s="140">
        <v>1.9937402206380305E-2</v>
      </c>
      <c r="E18" s="140"/>
    </row>
    <row r="19" spans="2:5">
      <c r="B19" s="873" t="s">
        <v>965</v>
      </c>
      <c r="C19" s="153">
        <v>353</v>
      </c>
      <c r="D19" s="140">
        <v>2.7021814716388568E-2</v>
      </c>
      <c r="E19" s="872"/>
    </row>
    <row r="20" spans="2:5">
      <c r="B20" s="873" t="s">
        <v>966</v>
      </c>
      <c r="C20" s="153">
        <v>354</v>
      </c>
      <c r="D20" s="140">
        <v>1.6410853312658551E-2</v>
      </c>
      <c r="E20" s="872"/>
    </row>
    <row r="21" spans="2:5">
      <c r="B21" s="873" t="s">
        <v>967</v>
      </c>
      <c r="C21" s="153">
        <v>355</v>
      </c>
      <c r="D21" s="140">
        <v>3.4581279199516743E-2</v>
      </c>
      <c r="E21" s="140"/>
    </row>
    <row r="22" spans="2:5">
      <c r="B22" s="873" t="s">
        <v>968</v>
      </c>
      <c r="C22" s="153">
        <v>356</v>
      </c>
      <c r="D22" s="140">
        <v>1.6466104698501578E-2</v>
      </c>
      <c r="E22" s="874"/>
    </row>
    <row r="23" spans="2:5">
      <c r="B23" s="873" t="s">
        <v>969</v>
      </c>
      <c r="C23" s="153">
        <v>357</v>
      </c>
      <c r="D23" s="140">
        <v>2.4910567737018444E-2</v>
      </c>
      <c r="E23" s="872"/>
    </row>
    <row r="24" spans="2:5">
      <c r="B24" s="873" t="s">
        <v>970</v>
      </c>
      <c r="C24" s="153">
        <v>358</v>
      </c>
      <c r="D24" s="140">
        <v>4.7211934675123406E-2</v>
      </c>
      <c r="E24" s="872"/>
    </row>
    <row r="25" spans="2:5" ht="15.75" thickBot="1">
      <c r="B25" s="873"/>
      <c r="C25" s="153"/>
      <c r="D25" s="140"/>
      <c r="E25" s="872"/>
    </row>
    <row r="26" spans="2:5">
      <c r="B26" s="867" t="s">
        <v>885</v>
      </c>
      <c r="C26" s="868"/>
      <c r="D26" s="131"/>
      <c r="E26" s="872"/>
    </row>
    <row r="27" spans="2:5">
      <c r="B27" s="873"/>
      <c r="C27" s="153"/>
      <c r="D27" s="140"/>
      <c r="E27" s="872"/>
    </row>
    <row r="28" spans="2:5">
      <c r="B28" s="873" t="s">
        <v>964</v>
      </c>
      <c r="C28" s="153">
        <v>390</v>
      </c>
      <c r="D28" s="1319">
        <v>1.885929115980799E-2</v>
      </c>
      <c r="E28" s="872"/>
    </row>
    <row r="29" spans="2:5">
      <c r="B29" s="873" t="s">
        <v>971</v>
      </c>
      <c r="C29" s="153">
        <v>391</v>
      </c>
      <c r="D29" s="1319">
        <v>3.2102874241325491E-2</v>
      </c>
      <c r="E29" s="872"/>
    </row>
    <row r="30" spans="2:5">
      <c r="B30" s="873" t="s">
        <v>972</v>
      </c>
      <c r="C30" s="153">
        <v>392</v>
      </c>
      <c r="D30" s="1319">
        <v>3.4641402596057087E-2</v>
      </c>
      <c r="E30" s="872"/>
    </row>
    <row r="31" spans="2:5">
      <c r="B31" s="873" t="s">
        <v>886</v>
      </c>
      <c r="C31" s="153">
        <v>393</v>
      </c>
      <c r="D31" s="1319">
        <v>1.7811546199796663E-2</v>
      </c>
      <c r="E31" s="872"/>
    </row>
    <row r="32" spans="2:5">
      <c r="B32" s="873" t="s">
        <v>973</v>
      </c>
      <c r="C32" s="153">
        <v>394</v>
      </c>
      <c r="D32" s="1319">
        <v>2.5948126203274885E-2</v>
      </c>
      <c r="E32" s="872"/>
    </row>
    <row r="33" spans="2:5">
      <c r="B33" s="873" t="s">
        <v>887</v>
      </c>
      <c r="C33" s="153">
        <v>395</v>
      </c>
      <c r="D33" s="1319">
        <v>3.8672735996257195E-2</v>
      </c>
      <c r="E33" s="872"/>
    </row>
    <row r="34" spans="2:5">
      <c r="B34" s="873" t="s">
        <v>974</v>
      </c>
      <c r="C34" s="153">
        <v>397</v>
      </c>
      <c r="D34" s="1319">
        <v>5.0539500990736452E-2</v>
      </c>
      <c r="E34" s="872"/>
    </row>
    <row r="35" spans="2:5">
      <c r="B35" s="873" t="s">
        <v>975</v>
      </c>
      <c r="C35" s="153">
        <v>398</v>
      </c>
      <c r="D35" s="1319">
        <v>2.6732468278057146E-2</v>
      </c>
      <c r="E35" s="872"/>
    </row>
    <row r="36" spans="2:5">
      <c r="B36" s="872"/>
      <c r="C36" s="872"/>
      <c r="D36" s="872"/>
      <c r="E36" s="872"/>
    </row>
    <row r="37" spans="2:5" ht="64.900000000000006" customHeight="1">
      <c r="B37" s="1604" t="s">
        <v>977</v>
      </c>
      <c r="C37" s="1605"/>
      <c r="D37" s="1605"/>
      <c r="E37" s="1605"/>
    </row>
    <row r="38" spans="2:5">
      <c r="B38" s="875"/>
      <c r="C38" s="876"/>
      <c r="D38" s="876"/>
      <c r="E38" s="876"/>
    </row>
    <row r="39" spans="2:5" ht="15.75">
      <c r="B39" s="877" t="s">
        <v>64</v>
      </c>
      <c r="C39" s="878" t="s">
        <v>616</v>
      </c>
      <c r="D39" s="878" t="s">
        <v>617</v>
      </c>
      <c r="E39" s="879" t="s">
        <v>539</v>
      </c>
    </row>
    <row r="40" spans="2:5">
      <c r="B40" s="880" t="s">
        <v>538</v>
      </c>
      <c r="C40" s="881">
        <v>1811822367</v>
      </c>
      <c r="D40" s="881">
        <v>29740179</v>
      </c>
      <c r="E40" s="882">
        <f>C40+D40</f>
        <v>1841562546</v>
      </c>
    </row>
    <row r="41" spans="2:5">
      <c r="B41" s="880" t="s">
        <v>537</v>
      </c>
      <c r="C41" s="881">
        <v>1752450105</v>
      </c>
      <c r="D41" s="881">
        <v>25887202</v>
      </c>
      <c r="E41" s="882">
        <f>C41+D41</f>
        <v>1778337307</v>
      </c>
    </row>
    <row r="42" spans="2:5">
      <c r="B42" s="880" t="s">
        <v>222</v>
      </c>
      <c r="C42" s="881">
        <f>AVERAGE(C40:C41)</f>
        <v>1782136236</v>
      </c>
      <c r="D42" s="881">
        <f>AVERAGE(D40:D41)</f>
        <v>27813690.5</v>
      </c>
      <c r="E42" s="882">
        <f>C42+D42</f>
        <v>1809949926.5</v>
      </c>
    </row>
    <row r="43" spans="2:5">
      <c r="B43" s="883" t="s">
        <v>540</v>
      </c>
      <c r="C43" s="881">
        <v>29597240</v>
      </c>
      <c r="D43" s="881">
        <v>752928</v>
      </c>
      <c r="E43" s="882">
        <f>C43+D43</f>
        <v>30350168</v>
      </c>
    </row>
    <row r="44" spans="2:5" ht="15.75">
      <c r="B44" s="884" t="s">
        <v>37</v>
      </c>
      <c r="C44" s="885" t="s">
        <v>408</v>
      </c>
      <c r="D44" s="885" t="s">
        <v>408</v>
      </c>
      <c r="E44" s="886">
        <f>E43/E42</f>
        <v>1.6768512518293692E-2</v>
      </c>
    </row>
    <row r="45" spans="2:5">
      <c r="B45" s="887"/>
      <c r="C45" s="888"/>
      <c r="D45" s="887"/>
      <c r="E45" s="887"/>
    </row>
    <row r="46" spans="2:5">
      <c r="B46" s="1599" t="s">
        <v>622</v>
      </c>
      <c r="C46" s="1600"/>
      <c r="D46" s="1600"/>
      <c r="E46" s="1600"/>
    </row>
    <row r="47" spans="2:5">
      <c r="B47" s="1600"/>
      <c r="C47" s="1600"/>
      <c r="D47" s="1600"/>
      <c r="E47" s="1600"/>
    </row>
    <row r="48" spans="2:5" ht="63" customHeight="1">
      <c r="B48" s="1600"/>
      <c r="C48" s="1600"/>
      <c r="D48" s="1600"/>
      <c r="E48" s="1600"/>
    </row>
  </sheetData>
  <mergeCells count="9">
    <mergeCell ref="B46:E48"/>
    <mergeCell ref="B3:E3"/>
    <mergeCell ref="B4:E4"/>
    <mergeCell ref="B5:E5"/>
    <mergeCell ref="B6:E6"/>
    <mergeCell ref="B7:E7"/>
    <mergeCell ref="B8:E8"/>
    <mergeCell ref="B9:E9"/>
    <mergeCell ref="B37:E37"/>
  </mergeCells>
  <phoneticPr fontId="2" type="noConversion"/>
  <conditionalFormatting sqref="B49:E65536 F4:G9 H3:IV10 B3:B9 C4:E8 B11:IV11 F12:IV65536">
    <cfRule type="cellIs" dxfId="3" priority="4" stopIfTrue="1" operator="lessThan">
      <formula>0</formula>
    </cfRule>
  </conditionalFormatting>
  <conditionalFormatting sqref="B12:C23 D45 B37:B43 B24:D25 B45:B46 D12:D13 E12:E36 D15:D23 C39:E44">
    <cfRule type="cellIs" dxfId="2" priority="3" stopIfTrue="1" operator="lessThan">
      <formula>0</formula>
    </cfRule>
  </conditionalFormatting>
  <conditionalFormatting sqref="B27:D35">
    <cfRule type="cellIs" dxfId="1" priority="2" stopIfTrue="1" operator="lessThan">
      <formula>0</formula>
    </cfRule>
  </conditionalFormatting>
  <conditionalFormatting sqref="B26:D26">
    <cfRule type="cellIs" dxfId="0" priority="1" stopIfTrue="1" operator="lessThan">
      <formula>0</formula>
    </cfRule>
  </conditionalFormatting>
  <pageMargins left="0.55000000000000004" right="0.55000000000000004" top="1.25" bottom="0.75" header="0.75" footer="0.27"/>
  <pageSetup scale="68" orientation="portrait"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9" customWidth="1"/>
    <col min="2" max="2" width="68.140625" style="889" customWidth="1"/>
    <col min="3" max="3" width="18.140625" style="889" customWidth="1"/>
    <col min="4" max="4" width="2.140625" style="889" customWidth="1"/>
    <col min="5" max="5" width="17.28515625" style="889" customWidth="1"/>
    <col min="6" max="6" width="16.28515625" style="889" customWidth="1"/>
    <col min="7" max="7" width="14.5703125" style="889" customWidth="1"/>
    <col min="8" max="8" width="17.5703125" style="889" customWidth="1"/>
    <col min="9" max="9" width="14.42578125" style="889" customWidth="1"/>
    <col min="10" max="10" width="15.7109375" style="889" customWidth="1"/>
    <col min="11" max="16384" width="9.140625" style="889"/>
  </cols>
  <sheetData>
    <row r="1" spans="1:10" ht="15.75">
      <c r="A1" s="1008" t="s">
        <v>408</v>
      </c>
    </row>
    <row r="2" spans="1:10" ht="15.75">
      <c r="A2" s="1008" t="s">
        <v>408</v>
      </c>
    </row>
    <row r="3" spans="1:10">
      <c r="A3" s="1607" t="s">
        <v>507</v>
      </c>
      <c r="B3" s="1607"/>
      <c r="C3" s="1607"/>
      <c r="D3" s="1607"/>
      <c r="E3" s="1607"/>
      <c r="F3" s="1607"/>
      <c r="G3" s="1607"/>
      <c r="H3" s="1607"/>
      <c r="I3" s="1607"/>
      <c r="J3" s="1607"/>
    </row>
    <row r="4" spans="1:10">
      <c r="A4" s="1607" t="str">
        <f>"Consolidation of Operating Companies' Capital Structure @ December 31, "&amp;TCOS!L4&amp;""</f>
        <v>Consolidation of Operating Companies' Capital Structure @ December 31, 2022</v>
      </c>
      <c r="B4" s="1607"/>
      <c r="C4" s="1607"/>
      <c r="D4" s="1607"/>
      <c r="E4" s="1607"/>
      <c r="F4" s="1607"/>
      <c r="G4" s="1607"/>
      <c r="H4" s="1607"/>
      <c r="I4" s="1607"/>
      <c r="J4" s="1607"/>
    </row>
    <row r="5" spans="1:10">
      <c r="A5" s="1607" t="s">
        <v>248</v>
      </c>
      <c r="B5" s="1607"/>
      <c r="C5" s="1607"/>
      <c r="D5" s="1607"/>
      <c r="E5" s="1607"/>
      <c r="F5" s="1607"/>
      <c r="G5" s="1607"/>
      <c r="H5" s="1607"/>
      <c r="I5" s="1607"/>
      <c r="J5" s="1607"/>
    </row>
    <row r="7" spans="1:10" ht="76.5">
      <c r="A7" s="889" t="s">
        <v>461</v>
      </c>
      <c r="C7" s="890" t="s">
        <v>508</v>
      </c>
      <c r="D7" s="890"/>
      <c r="E7" s="890" t="s">
        <v>509</v>
      </c>
      <c r="F7" s="890" t="s">
        <v>510</v>
      </c>
      <c r="G7" s="890" t="s">
        <v>511</v>
      </c>
      <c r="H7" s="890" t="s">
        <v>512</v>
      </c>
      <c r="I7" s="890" t="s">
        <v>513</v>
      </c>
      <c r="J7" s="890" t="s">
        <v>514</v>
      </c>
    </row>
    <row r="8" spans="1:10" ht="15">
      <c r="A8" s="847" t="s">
        <v>515</v>
      </c>
    </row>
    <row r="9" spans="1:10">
      <c r="A9" s="889">
        <v>1</v>
      </c>
      <c r="B9" s="851" t="s">
        <v>338</v>
      </c>
      <c r="C9" s="854"/>
      <c r="D9" s="854"/>
      <c r="E9" s="854"/>
      <c r="F9" s="854"/>
      <c r="G9" s="854"/>
      <c r="H9" s="854"/>
      <c r="I9" s="854"/>
      <c r="J9" s="834">
        <f>SUM(C9:I9)</f>
        <v>0</v>
      </c>
    </row>
    <row r="10" spans="1:10">
      <c r="A10" s="889">
        <f>A9+1</f>
        <v>2</v>
      </c>
      <c r="B10" s="851" t="s">
        <v>339</v>
      </c>
      <c r="C10" s="854"/>
      <c r="D10" s="854"/>
      <c r="E10" s="854"/>
      <c r="F10" s="854"/>
      <c r="G10" s="854"/>
      <c r="H10" s="854"/>
      <c r="I10" s="854"/>
      <c r="J10" s="834">
        <f>SUM(C10:I10)</f>
        <v>0</v>
      </c>
    </row>
    <row r="11" spans="1:10">
      <c r="A11" s="889">
        <f>A10+1</f>
        <v>3</v>
      </c>
      <c r="B11" s="852" t="s">
        <v>23</v>
      </c>
      <c r="C11" s="854"/>
      <c r="D11" s="854"/>
      <c r="E11" s="854"/>
      <c r="F11" s="854"/>
      <c r="G11" s="854"/>
      <c r="H11" s="854"/>
      <c r="I11" s="854"/>
      <c r="J11" s="834">
        <f>SUM(C11:I11)</f>
        <v>0</v>
      </c>
    </row>
    <row r="12" spans="1:10">
      <c r="A12" s="889">
        <f>A11+1</f>
        <v>4</v>
      </c>
      <c r="B12" s="852" t="s">
        <v>17</v>
      </c>
      <c r="C12" s="854"/>
      <c r="D12" s="854"/>
      <c r="E12" s="854"/>
      <c r="F12" s="854"/>
      <c r="G12" s="854"/>
      <c r="H12" s="854"/>
      <c r="I12" s="854"/>
      <c r="J12" s="834">
        <f>SUM(C12:I12)</f>
        <v>0</v>
      </c>
    </row>
    <row r="13" spans="1:10">
      <c r="A13" s="889">
        <f>A12+1</f>
        <v>5</v>
      </c>
      <c r="B13" s="852" t="str">
        <f>"Less: Fair Value Hedges (See Note on Ln "&amp;A16&amp;" below)"</f>
        <v>Less: Fair Value Hedges (See Note on Ln 7 below)</v>
      </c>
      <c r="C13" s="147"/>
      <c r="D13" s="147"/>
      <c r="E13" s="147"/>
      <c r="F13" s="147"/>
      <c r="G13" s="147"/>
      <c r="H13" s="147"/>
      <c r="I13" s="147"/>
      <c r="J13" s="891">
        <f>SUM(C13:I13)</f>
        <v>0</v>
      </c>
    </row>
    <row r="14" spans="1:10">
      <c r="A14" s="889">
        <f>A13+1</f>
        <v>6</v>
      </c>
      <c r="B14" s="853" t="s">
        <v>59</v>
      </c>
      <c r="C14" s="892">
        <f t="shared" ref="C14:J14" si="0">C9-C10+C11+C12-C13</f>
        <v>0</v>
      </c>
      <c r="D14" s="892"/>
      <c r="E14" s="892">
        <f t="shared" si="0"/>
        <v>0</v>
      </c>
      <c r="F14" s="892">
        <f t="shared" si="0"/>
        <v>0</v>
      </c>
      <c r="G14" s="892">
        <f t="shared" si="0"/>
        <v>0</v>
      </c>
      <c r="H14" s="892">
        <f t="shared" si="0"/>
        <v>0</v>
      </c>
      <c r="I14" s="892">
        <f t="shared" si="0"/>
        <v>0</v>
      </c>
      <c r="J14" s="892">
        <f t="shared" si="0"/>
        <v>0</v>
      </c>
    </row>
    <row r="16" spans="1:10" ht="12.75" customHeight="1">
      <c r="A16" s="889">
        <f>A14+1</f>
        <v>7</v>
      </c>
      <c r="B16" s="1606" t="s">
        <v>547</v>
      </c>
      <c r="C16" s="1606"/>
      <c r="D16" s="1606"/>
      <c r="E16" s="1606"/>
      <c r="F16" s="1606"/>
      <c r="G16" s="1606"/>
      <c r="H16" s="1606"/>
      <c r="I16" s="1606"/>
      <c r="J16" s="1606"/>
    </row>
    <row r="17" spans="1:10" ht="12.75" customHeight="1">
      <c r="B17" s="893"/>
      <c r="C17" s="893"/>
      <c r="D17" s="893"/>
      <c r="E17" s="893"/>
      <c r="F17" s="893"/>
      <c r="G17" s="893"/>
      <c r="H17" s="893"/>
      <c r="I17" s="893"/>
      <c r="J17" s="893"/>
    </row>
    <row r="18" spans="1:10" ht="15">
      <c r="A18" s="847" t="s">
        <v>516</v>
      </c>
    </row>
    <row r="19" spans="1:10">
      <c r="A19" s="889">
        <f>A16+1</f>
        <v>8</v>
      </c>
      <c r="B19" s="851" t="s">
        <v>340</v>
      </c>
      <c r="C19" s="146"/>
      <c r="D19" s="146"/>
      <c r="E19" s="146"/>
      <c r="F19" s="146"/>
      <c r="G19" s="146"/>
      <c r="H19" s="146"/>
      <c r="I19" s="146"/>
      <c r="J19" s="490">
        <f t="shared" ref="J19:J24" si="1">SUM(C19:I19)</f>
        <v>0</v>
      </c>
    </row>
    <row r="20" spans="1:10">
      <c r="A20" s="889">
        <f t="shared" ref="A20:A25" si="2">A19+1</f>
        <v>9</v>
      </c>
      <c r="B20" s="851" t="s">
        <v>333</v>
      </c>
      <c r="C20" s="146"/>
      <c r="D20" s="146"/>
      <c r="E20" s="146"/>
      <c r="F20" s="146"/>
      <c r="G20" s="146"/>
      <c r="H20" s="146"/>
      <c r="I20" s="146"/>
      <c r="J20" s="490">
        <f t="shared" si="1"/>
        <v>0</v>
      </c>
    </row>
    <row r="21" spans="1:10">
      <c r="A21" s="889">
        <f t="shared" si="2"/>
        <v>10</v>
      </c>
      <c r="B21" s="851" t="s">
        <v>334</v>
      </c>
      <c r="C21" s="146"/>
      <c r="D21" s="146"/>
      <c r="E21" s="146"/>
      <c r="F21" s="146"/>
      <c r="G21" s="146"/>
      <c r="H21" s="146"/>
      <c r="I21" s="146"/>
      <c r="J21" s="490">
        <f t="shared" si="1"/>
        <v>0</v>
      </c>
    </row>
    <row r="22" spans="1:10">
      <c r="A22" s="889">
        <f t="shared" si="2"/>
        <v>11</v>
      </c>
      <c r="B22" s="851" t="s">
        <v>335</v>
      </c>
      <c r="C22" s="854"/>
      <c r="D22" s="854"/>
      <c r="E22" s="854"/>
      <c r="F22" s="854"/>
      <c r="G22" s="854"/>
      <c r="H22" s="854"/>
      <c r="I22" s="854"/>
      <c r="J22" s="834">
        <f t="shared" si="1"/>
        <v>0</v>
      </c>
    </row>
    <row r="23" spans="1:10">
      <c r="A23" s="889">
        <f t="shared" si="2"/>
        <v>12</v>
      </c>
      <c r="B23" s="851" t="s">
        <v>336</v>
      </c>
      <c r="C23" s="854"/>
      <c r="D23" s="854"/>
      <c r="E23" s="854"/>
      <c r="F23" s="854"/>
      <c r="G23" s="854"/>
      <c r="H23" s="854"/>
      <c r="I23" s="854"/>
      <c r="J23" s="834">
        <f t="shared" si="1"/>
        <v>0</v>
      </c>
    </row>
    <row r="24" spans="1:10">
      <c r="A24" s="889">
        <f t="shared" si="2"/>
        <v>13</v>
      </c>
      <c r="B24" s="894" t="s">
        <v>517</v>
      </c>
      <c r="C24" s="147"/>
      <c r="D24" s="147"/>
      <c r="E24" s="147"/>
      <c r="F24" s="147"/>
      <c r="G24" s="147"/>
      <c r="H24" s="147"/>
      <c r="I24" s="147"/>
      <c r="J24" s="891">
        <f t="shared" si="1"/>
        <v>0</v>
      </c>
    </row>
    <row r="25" spans="1:10">
      <c r="A25" s="889">
        <f t="shared" si="2"/>
        <v>14</v>
      </c>
      <c r="B25" s="895" t="s">
        <v>60</v>
      </c>
      <c r="C25" s="896">
        <f t="shared" ref="C25:J25" si="3">C19+C20+C21-C22-C23-C24</f>
        <v>0</v>
      </c>
      <c r="D25" s="896"/>
      <c r="E25" s="896">
        <f t="shared" si="3"/>
        <v>0</v>
      </c>
      <c r="F25" s="896">
        <f t="shared" si="3"/>
        <v>0</v>
      </c>
      <c r="G25" s="896">
        <f t="shared" si="3"/>
        <v>0</v>
      </c>
      <c r="H25" s="896">
        <f t="shared" si="3"/>
        <v>0</v>
      </c>
      <c r="I25" s="896">
        <f t="shared" si="3"/>
        <v>0</v>
      </c>
      <c r="J25" s="896">
        <f t="shared" si="3"/>
        <v>0</v>
      </c>
    </row>
    <row r="27" spans="1:10" ht="15">
      <c r="A27" s="847" t="s">
        <v>518</v>
      </c>
      <c r="B27" s="897"/>
      <c r="C27" s="897"/>
      <c r="D27" s="897"/>
      <c r="E27" s="897"/>
    </row>
    <row r="28" spans="1:10">
      <c r="A28" s="889">
        <f>A25+1</f>
        <v>15</v>
      </c>
      <c r="B28" s="850" t="s">
        <v>519</v>
      </c>
      <c r="C28" s="855"/>
      <c r="D28" s="918"/>
      <c r="E28" s="919"/>
      <c r="F28" s="918"/>
      <c r="G28" s="918"/>
      <c r="H28" s="855"/>
      <c r="I28" s="918"/>
      <c r="J28" s="898"/>
    </row>
    <row r="29" spans="1:10">
      <c r="A29" s="889">
        <f>A28+1</f>
        <v>16</v>
      </c>
      <c r="B29" s="850" t="s">
        <v>520</v>
      </c>
      <c r="C29" s="856"/>
      <c r="D29" s="920"/>
      <c r="E29" s="856"/>
      <c r="F29" s="920"/>
      <c r="G29" s="920"/>
      <c r="H29" s="856"/>
      <c r="I29" s="920"/>
      <c r="J29" s="899"/>
    </row>
    <row r="30" spans="1:10">
      <c r="A30" s="889">
        <f>A29+1</f>
        <v>17</v>
      </c>
      <c r="B30" s="850" t="s">
        <v>521</v>
      </c>
      <c r="C30" s="146"/>
      <c r="D30" s="921"/>
      <c r="E30" s="146"/>
      <c r="F30" s="921"/>
      <c r="G30" s="921"/>
      <c r="H30" s="146"/>
      <c r="I30" s="921"/>
    </row>
    <row r="31" spans="1:10">
      <c r="A31" s="889">
        <f>A30+1</f>
        <v>18</v>
      </c>
      <c r="B31" s="850"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6">
        <f>SUM(C31:I31)</f>
        <v>0</v>
      </c>
    </row>
    <row r="32" spans="1:10">
      <c r="A32" s="889">
        <f>A31+1</f>
        <v>19</v>
      </c>
      <c r="B32" s="850"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6">
        <f>SUM(C32:I32)</f>
        <v>0</v>
      </c>
    </row>
    <row r="34" spans="1:10">
      <c r="A34" s="889">
        <f>A32+1</f>
        <v>20</v>
      </c>
      <c r="B34" s="850" t="s">
        <v>519</v>
      </c>
      <c r="C34" s="855"/>
      <c r="D34" s="918"/>
      <c r="E34" s="919"/>
      <c r="F34" s="918"/>
      <c r="G34" s="918"/>
      <c r="H34" s="855"/>
      <c r="I34" s="918"/>
    </row>
    <row r="35" spans="1:10">
      <c r="A35" s="889">
        <f>A34+1</f>
        <v>21</v>
      </c>
      <c r="B35" s="850" t="s">
        <v>520</v>
      </c>
      <c r="C35" s="856"/>
      <c r="D35" s="920"/>
      <c r="E35" s="856"/>
      <c r="F35" s="920"/>
      <c r="G35" s="920"/>
      <c r="H35" s="856"/>
      <c r="I35" s="920"/>
    </row>
    <row r="36" spans="1:10">
      <c r="A36" s="889">
        <f>A35+1</f>
        <v>22</v>
      </c>
      <c r="B36" s="850" t="s">
        <v>521</v>
      </c>
      <c r="C36" s="146"/>
      <c r="D36" s="921"/>
      <c r="E36" s="146"/>
      <c r="F36" s="921"/>
      <c r="G36" s="921"/>
      <c r="H36" s="146"/>
      <c r="I36" s="921"/>
    </row>
    <row r="37" spans="1:10">
      <c r="A37" s="889">
        <f>A36+1</f>
        <v>23</v>
      </c>
      <c r="B37" s="850"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6">
        <f>SUM(C37:I37)</f>
        <v>0</v>
      </c>
    </row>
    <row r="38" spans="1:10">
      <c r="A38" s="889">
        <f>A37+1</f>
        <v>24</v>
      </c>
      <c r="B38" s="850"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6">
        <f>SUM(C38:I38)</f>
        <v>0</v>
      </c>
    </row>
    <row r="40" spans="1:10">
      <c r="A40" s="889">
        <f>A38+1</f>
        <v>25</v>
      </c>
      <c r="B40" s="850" t="s">
        <v>519</v>
      </c>
      <c r="C40" s="855"/>
      <c r="D40" s="918"/>
      <c r="E40" s="919"/>
      <c r="F40" s="918"/>
      <c r="G40" s="918"/>
      <c r="H40" s="855"/>
      <c r="I40" s="918"/>
    </row>
    <row r="41" spans="1:10">
      <c r="A41" s="889">
        <f>A40+1</f>
        <v>26</v>
      </c>
      <c r="B41" s="850" t="s">
        <v>520</v>
      </c>
      <c r="C41" s="856"/>
      <c r="D41" s="920"/>
      <c r="E41" s="856"/>
      <c r="F41" s="920"/>
      <c r="G41" s="920"/>
      <c r="H41" s="856"/>
      <c r="I41" s="920"/>
    </row>
    <row r="42" spans="1:10">
      <c r="A42" s="889">
        <f>A41+1</f>
        <v>27</v>
      </c>
      <c r="B42" s="850" t="s">
        <v>521</v>
      </c>
      <c r="C42" s="146"/>
      <c r="D42" s="921"/>
      <c r="E42" s="146"/>
      <c r="F42" s="921"/>
      <c r="G42" s="921"/>
      <c r="H42" s="146"/>
      <c r="I42" s="921"/>
    </row>
    <row r="43" spans="1:10">
      <c r="A43" s="889">
        <f>A42+1</f>
        <v>28</v>
      </c>
      <c r="B43" s="850"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6">
        <f>SUM(C43:I43)</f>
        <v>0</v>
      </c>
    </row>
    <row r="44" spans="1:10">
      <c r="A44" s="889">
        <f>A43+1</f>
        <v>29</v>
      </c>
      <c r="B44" s="850"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6">
        <f>SUM(C44:I44)</f>
        <v>0</v>
      </c>
    </row>
    <row r="46" spans="1:10">
      <c r="A46" s="889">
        <f>A44+1</f>
        <v>30</v>
      </c>
      <c r="B46" s="850" t="s">
        <v>519</v>
      </c>
      <c r="C46" s="855"/>
      <c r="D46" s="918"/>
      <c r="E46" s="919"/>
      <c r="F46" s="918"/>
      <c r="G46" s="918"/>
      <c r="H46" s="855"/>
      <c r="I46" s="918"/>
    </row>
    <row r="47" spans="1:10">
      <c r="A47" s="889">
        <f>A46+1</f>
        <v>31</v>
      </c>
      <c r="B47" s="850" t="s">
        <v>520</v>
      </c>
      <c r="C47" s="856"/>
      <c r="D47" s="920"/>
      <c r="E47" s="856"/>
      <c r="F47" s="920"/>
      <c r="G47" s="920"/>
      <c r="H47" s="856"/>
      <c r="I47" s="920"/>
    </row>
    <row r="48" spans="1:10">
      <c r="A48" s="889">
        <f>A47+1</f>
        <v>32</v>
      </c>
      <c r="B48" s="850" t="s">
        <v>521</v>
      </c>
      <c r="C48" s="146"/>
      <c r="D48" s="921"/>
      <c r="E48" s="146"/>
      <c r="F48" s="921"/>
      <c r="G48" s="921"/>
      <c r="H48" s="146"/>
      <c r="I48" s="921"/>
    </row>
    <row r="49" spans="1:10">
      <c r="A49" s="889">
        <f>A48+1</f>
        <v>33</v>
      </c>
      <c r="B49" s="850"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6">
        <f>SUM(C49:I49)</f>
        <v>0</v>
      </c>
    </row>
    <row r="50" spans="1:10">
      <c r="A50" s="889">
        <f>A49+1</f>
        <v>34</v>
      </c>
      <c r="B50" s="850"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6">
        <f>SUM(C50:I50)</f>
        <v>0</v>
      </c>
    </row>
    <row r="51" spans="1:10">
      <c r="B51" s="850"/>
    </row>
    <row r="52" spans="1:10">
      <c r="A52" s="889">
        <f>A50+1</f>
        <v>35</v>
      </c>
      <c r="B52" s="848" t="str">
        <f>"Preferred Stock (Lns "&amp;A31&amp;", "&amp;A37&amp;", "&amp;A43&amp;","&amp;A49&amp;")"</f>
        <v>Preferred Stock (Lns 18, 23, 28,33)</v>
      </c>
      <c r="C52" s="896">
        <f t="shared" ref="C52:I53" si="12">C31+C37+C43+C49</f>
        <v>0</v>
      </c>
      <c r="D52" s="896"/>
      <c r="E52" s="896">
        <f t="shared" si="12"/>
        <v>0</v>
      </c>
      <c r="F52" s="896">
        <f t="shared" si="12"/>
        <v>0</v>
      </c>
      <c r="G52" s="896">
        <f t="shared" si="12"/>
        <v>0</v>
      </c>
      <c r="H52" s="896">
        <f t="shared" si="12"/>
        <v>0</v>
      </c>
      <c r="I52" s="896">
        <f t="shared" si="12"/>
        <v>0</v>
      </c>
      <c r="J52" s="896">
        <f>SUM(C52:I52)</f>
        <v>0</v>
      </c>
    </row>
    <row r="53" spans="1:10">
      <c r="A53" s="889">
        <f>A52+1</f>
        <v>36</v>
      </c>
      <c r="B53" s="848" t="str">
        <f>"Preferred Dividends (Lns "&amp;A32&amp;", "&amp;A38&amp;", "&amp;A44&amp;","&amp;A50&amp;")"</f>
        <v>Preferred Dividends (Lns 19, 24, 29,34)</v>
      </c>
      <c r="C53" s="896">
        <f t="shared" si="12"/>
        <v>0</v>
      </c>
      <c r="D53" s="896"/>
      <c r="E53" s="896">
        <f t="shared" si="12"/>
        <v>0</v>
      </c>
      <c r="F53" s="896">
        <f t="shared" si="12"/>
        <v>0</v>
      </c>
      <c r="G53" s="896">
        <f t="shared" si="12"/>
        <v>0</v>
      </c>
      <c r="H53" s="896">
        <f t="shared" si="12"/>
        <v>0</v>
      </c>
      <c r="I53" s="896">
        <f t="shared" si="12"/>
        <v>0</v>
      </c>
      <c r="J53" s="896">
        <f>SUM(C53:I53)</f>
        <v>0</v>
      </c>
    </row>
    <row r="54" spans="1:10">
      <c r="B54" s="900"/>
    </row>
    <row r="55" spans="1:10" ht="15">
      <c r="A55" s="847" t="s">
        <v>522</v>
      </c>
    </row>
    <row r="56" spans="1:10">
      <c r="A56" s="889">
        <f>A53+1</f>
        <v>37</v>
      </c>
      <c r="B56" s="666" t="s">
        <v>523</v>
      </c>
      <c r="C56" s="146"/>
      <c r="D56" s="146"/>
      <c r="E56" s="146"/>
      <c r="F56" s="146"/>
      <c r="G56" s="146"/>
      <c r="H56" s="146"/>
      <c r="I56" s="146"/>
      <c r="J56" s="896">
        <f>SUM(C56:I56)</f>
        <v>0</v>
      </c>
    </row>
    <row r="57" spans="1:10">
      <c r="A57" s="889">
        <f>A56+1</f>
        <v>38</v>
      </c>
      <c r="B57" s="666"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6">
        <f>SUM(C57:I57)</f>
        <v>0</v>
      </c>
    </row>
    <row r="58" spans="1:10">
      <c r="A58" s="889">
        <f>A57+1</f>
        <v>39</v>
      </c>
      <c r="B58" s="666" t="s">
        <v>524</v>
      </c>
      <c r="C58" s="854"/>
      <c r="D58" s="854"/>
      <c r="E58" s="854"/>
      <c r="F58" s="854"/>
      <c r="G58" s="854"/>
      <c r="H58" s="854"/>
      <c r="I58" s="854"/>
      <c r="J58" s="896">
        <f>SUM(C58:I58)</f>
        <v>0</v>
      </c>
    </row>
    <row r="59" spans="1:10">
      <c r="A59" s="889">
        <f>A58+1</f>
        <v>40</v>
      </c>
      <c r="B59" s="666" t="s">
        <v>525</v>
      </c>
      <c r="C59" s="147"/>
      <c r="D59" s="147"/>
      <c r="E59" s="147"/>
      <c r="F59" s="147"/>
      <c r="G59" s="147"/>
      <c r="H59" s="147"/>
      <c r="I59" s="147"/>
      <c r="J59" s="901">
        <f>SUM(C59:I59)</f>
        <v>0</v>
      </c>
    </row>
    <row r="60" spans="1:10">
      <c r="A60" s="889">
        <f>A59+1</f>
        <v>41</v>
      </c>
      <c r="B60" s="849" t="s">
        <v>526</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527</v>
      </c>
    </row>
    <row r="63" spans="1:10">
      <c r="A63" s="889">
        <f>A60+1</f>
        <v>42</v>
      </c>
      <c r="B63" s="469" t="str">
        <f>"Long Term Debt (Ln "&amp;A14&amp;" Above)"</f>
        <v>Long Term Debt (Ln 6 Above)</v>
      </c>
      <c r="C63" s="896">
        <f t="shared" ref="C63:J63" si="15">C14</f>
        <v>0</v>
      </c>
      <c r="D63" s="896"/>
      <c r="E63" s="896">
        <f t="shared" si="15"/>
        <v>0</v>
      </c>
      <c r="F63" s="896">
        <f t="shared" si="15"/>
        <v>0</v>
      </c>
      <c r="G63" s="896">
        <f t="shared" si="15"/>
        <v>0</v>
      </c>
      <c r="H63" s="896">
        <f t="shared" si="15"/>
        <v>0</v>
      </c>
      <c r="I63" s="896">
        <f t="shared" si="15"/>
        <v>0</v>
      </c>
      <c r="J63" s="896">
        <f t="shared" si="15"/>
        <v>0</v>
      </c>
    </row>
    <row r="64" spans="1:10">
      <c r="A64" s="889">
        <f>A63+1</f>
        <v>43</v>
      </c>
      <c r="B64" s="469" t="str">
        <f>"Preferred Stock (Ln "&amp;A52&amp;" Above)"</f>
        <v>Preferred Stock (Ln 35 Above)</v>
      </c>
      <c r="C64" s="896">
        <f t="shared" ref="C64:J64" si="16">C52</f>
        <v>0</v>
      </c>
      <c r="D64" s="896"/>
      <c r="E64" s="896">
        <f t="shared" si="16"/>
        <v>0</v>
      </c>
      <c r="F64" s="896">
        <f t="shared" si="16"/>
        <v>0</v>
      </c>
      <c r="G64" s="896">
        <f t="shared" si="16"/>
        <v>0</v>
      </c>
      <c r="H64" s="896">
        <f t="shared" si="16"/>
        <v>0</v>
      </c>
      <c r="I64" s="896">
        <f t="shared" si="16"/>
        <v>0</v>
      </c>
      <c r="J64" s="896">
        <f t="shared" si="16"/>
        <v>0</v>
      </c>
    </row>
    <row r="65" spans="1:10">
      <c r="A65" s="889">
        <f>A64+1</f>
        <v>44</v>
      </c>
      <c r="B65" s="469" t="str">
        <f>"Common Equity (Ln "&amp;A60&amp;" Above)"</f>
        <v>Common Equity (Ln 41 Above)</v>
      </c>
      <c r="C65" s="901">
        <f t="shared" ref="C65:J65" si="17">C60</f>
        <v>0</v>
      </c>
      <c r="D65" s="901"/>
      <c r="E65" s="901">
        <f t="shared" si="17"/>
        <v>0</v>
      </c>
      <c r="F65" s="901">
        <f t="shared" si="17"/>
        <v>0</v>
      </c>
      <c r="G65" s="901">
        <f t="shared" si="17"/>
        <v>0</v>
      </c>
      <c r="H65" s="901">
        <f t="shared" si="17"/>
        <v>0</v>
      </c>
      <c r="I65" s="901">
        <f t="shared" si="17"/>
        <v>0</v>
      </c>
      <c r="J65" s="901">
        <f t="shared" si="17"/>
        <v>0</v>
      </c>
    </row>
    <row r="66" spans="1:10">
      <c r="A66" s="889">
        <f>A65+1</f>
        <v>45</v>
      </c>
      <c r="B66" s="889" t="s">
        <v>528</v>
      </c>
      <c r="C66" s="896">
        <f t="shared" ref="C66:J66" si="18">SUM(C63:C65)</f>
        <v>0</v>
      </c>
      <c r="D66" s="896"/>
      <c r="E66" s="896">
        <f t="shared" si="18"/>
        <v>0</v>
      </c>
      <c r="F66" s="896">
        <f t="shared" si="18"/>
        <v>0</v>
      </c>
      <c r="G66" s="896">
        <f t="shared" si="18"/>
        <v>0</v>
      </c>
      <c r="H66" s="896">
        <f t="shared" si="18"/>
        <v>0</v>
      </c>
      <c r="I66" s="896">
        <f t="shared" si="18"/>
        <v>0</v>
      </c>
      <c r="J66" s="896">
        <f t="shared" si="18"/>
        <v>0</v>
      </c>
    </row>
    <row r="68" spans="1:10">
      <c r="A68" s="889">
        <f>A66+1</f>
        <v>46</v>
      </c>
      <c r="B68" s="469" t="str">
        <f>"LTD Capital Shares (Ln "&amp;A63&amp;" / Ln "&amp;A66&amp;")"</f>
        <v>LTD Capital Shares (Ln 42 / Ln 45)</v>
      </c>
      <c r="C68" s="902" t="e">
        <f t="shared" ref="C68:J68" si="19">C63/C66</f>
        <v>#DIV/0!</v>
      </c>
      <c r="D68" s="902"/>
      <c r="E68" s="902" t="e">
        <f t="shared" si="19"/>
        <v>#DIV/0!</v>
      </c>
      <c r="F68" s="902" t="e">
        <f t="shared" si="19"/>
        <v>#DIV/0!</v>
      </c>
      <c r="G68" s="902" t="e">
        <f t="shared" si="19"/>
        <v>#DIV/0!</v>
      </c>
      <c r="H68" s="902" t="e">
        <f t="shared" si="19"/>
        <v>#DIV/0!</v>
      </c>
      <c r="I68" s="902" t="e">
        <f t="shared" si="19"/>
        <v>#DIV/0!</v>
      </c>
      <c r="J68" s="902" t="e">
        <f t="shared" si="19"/>
        <v>#DIV/0!</v>
      </c>
    </row>
    <row r="69" spans="1:10">
      <c r="A69" s="889">
        <f>A68+1</f>
        <v>47</v>
      </c>
      <c r="B69" s="469" t="str">
        <f>"Preferred Stock Capital Shares (Ln "&amp;A64&amp;" / Ln "&amp;A66&amp;")"</f>
        <v>Preferred Stock Capital Shares (Ln 43 / Ln 45)</v>
      </c>
      <c r="C69" s="902" t="e">
        <f t="shared" ref="C69:J69" si="20">C64/C66</f>
        <v>#DIV/0!</v>
      </c>
      <c r="D69" s="902"/>
      <c r="E69" s="902" t="e">
        <f t="shared" si="20"/>
        <v>#DIV/0!</v>
      </c>
      <c r="F69" s="902" t="e">
        <f t="shared" si="20"/>
        <v>#DIV/0!</v>
      </c>
      <c r="G69" s="902" t="e">
        <f t="shared" si="20"/>
        <v>#DIV/0!</v>
      </c>
      <c r="H69" s="902" t="e">
        <f t="shared" si="20"/>
        <v>#DIV/0!</v>
      </c>
      <c r="I69" s="902" t="e">
        <f t="shared" si="20"/>
        <v>#DIV/0!</v>
      </c>
      <c r="J69" s="902" t="e">
        <f t="shared" si="20"/>
        <v>#DIV/0!</v>
      </c>
    </row>
    <row r="70" spans="1:10">
      <c r="A70" s="903">
        <f>A69+1</f>
        <v>48</v>
      </c>
      <c r="B70" s="469" t="str">
        <f>"Common Equity Capital Shares (Ln "&amp;A65&amp;" / Ln "&amp;A66&amp;")"</f>
        <v>Common Equity Capital Shares (Ln 44 / Ln 45)</v>
      </c>
      <c r="C70" s="904" t="e">
        <f t="shared" ref="C70:J70" si="21">C65/C66</f>
        <v>#DIV/0!</v>
      </c>
      <c r="D70" s="904"/>
      <c r="E70" s="904" t="e">
        <f t="shared" si="21"/>
        <v>#DIV/0!</v>
      </c>
      <c r="F70" s="904" t="e">
        <f t="shared" si="21"/>
        <v>#DIV/0!</v>
      </c>
      <c r="G70" s="904" t="e">
        <f t="shared" si="21"/>
        <v>#DIV/0!</v>
      </c>
      <c r="H70" s="904" t="e">
        <f t="shared" si="21"/>
        <v>#DIV/0!</v>
      </c>
      <c r="I70" s="904" t="e">
        <f t="shared" si="21"/>
        <v>#DIV/0!</v>
      </c>
      <c r="J70" s="904" t="e">
        <f t="shared" si="21"/>
        <v>#DIV/0!</v>
      </c>
    </row>
    <row r="71" spans="1:10">
      <c r="A71" s="903"/>
      <c r="B71" s="469"/>
      <c r="C71" s="904"/>
      <c r="D71" s="904"/>
      <c r="E71" s="904"/>
      <c r="F71" s="904"/>
      <c r="G71" s="904"/>
      <c r="H71" s="904"/>
      <c r="I71" s="904"/>
      <c r="J71" s="904"/>
    </row>
    <row r="72" spans="1:10">
      <c r="A72" s="903">
        <f>A70+1</f>
        <v>49</v>
      </c>
      <c r="B72" s="848" t="s">
        <v>558</v>
      </c>
      <c r="C72" s="905"/>
      <c r="D72" s="905"/>
      <c r="E72" s="905"/>
      <c r="F72" s="905"/>
      <c r="G72" s="905"/>
      <c r="H72" s="905"/>
      <c r="I72" s="905"/>
      <c r="J72" s="905"/>
    </row>
    <row r="73" spans="1:10">
      <c r="A73" s="903"/>
      <c r="B73" s="469"/>
      <c r="C73" s="904"/>
      <c r="D73" s="904"/>
      <c r="E73" s="904"/>
      <c r="F73" s="904"/>
      <c r="G73" s="904"/>
      <c r="H73" s="904"/>
      <c r="I73" s="904"/>
      <c r="J73" s="904"/>
    </row>
    <row r="74" spans="1:10">
      <c r="A74" s="903">
        <f>A72+1</f>
        <v>50</v>
      </c>
      <c r="B74" s="848" t="s">
        <v>558</v>
      </c>
      <c r="C74" s="904"/>
      <c r="D74" s="904"/>
      <c r="E74" s="904"/>
      <c r="F74" s="904"/>
      <c r="G74" s="904"/>
      <c r="H74" s="904"/>
      <c r="I74" s="904"/>
      <c r="J74" s="904"/>
    </row>
    <row r="75" spans="1:10">
      <c r="A75" s="903">
        <f>A74+1</f>
        <v>51</v>
      </c>
      <c r="B75" s="848" t="s">
        <v>558</v>
      </c>
      <c r="C75" s="904"/>
      <c r="D75" s="904"/>
      <c r="E75" s="904"/>
      <c r="F75" s="904"/>
      <c r="G75" s="904"/>
      <c r="H75" s="904"/>
      <c r="I75" s="904"/>
      <c r="J75" s="904"/>
    </row>
    <row r="76" spans="1:10">
      <c r="A76" s="903">
        <f>A75+1</f>
        <v>52</v>
      </c>
      <c r="B76" s="848" t="s">
        <v>558</v>
      </c>
      <c r="C76" s="904"/>
      <c r="D76" s="904"/>
      <c r="E76" s="904"/>
      <c r="F76" s="904"/>
      <c r="G76" s="904"/>
      <c r="H76" s="904"/>
      <c r="I76" s="904"/>
      <c r="J76" s="904"/>
    </row>
    <row r="77" spans="1:10">
      <c r="B77" s="469"/>
      <c r="C77" s="902"/>
      <c r="D77" s="902"/>
      <c r="E77" s="902"/>
      <c r="F77" s="902"/>
      <c r="G77" s="902"/>
      <c r="H77" s="902"/>
      <c r="I77" s="902"/>
      <c r="J77" s="902"/>
    </row>
    <row r="78" spans="1:10" ht="15">
      <c r="A78" s="847" t="s">
        <v>529</v>
      </c>
    </row>
    <row r="79" spans="1:10">
      <c r="A79" s="889">
        <f>A76+1</f>
        <v>53</v>
      </c>
      <c r="B79" s="469" t="str">
        <f>"LTD Capital Cost Rate (Ln "&amp;A25&amp;" / Ln "&amp;A14&amp;")"</f>
        <v>LTD Capital Cost Rate (Ln 14 / Ln 6)</v>
      </c>
      <c r="C79" s="902" t="e">
        <f t="shared" ref="C79:J79" si="22">C25/C14</f>
        <v>#DIV/0!</v>
      </c>
      <c r="D79" s="902"/>
      <c r="E79" s="902" t="e">
        <f t="shared" si="22"/>
        <v>#DIV/0!</v>
      </c>
      <c r="F79" s="902" t="e">
        <f t="shared" si="22"/>
        <v>#DIV/0!</v>
      </c>
      <c r="G79" s="902" t="e">
        <f t="shared" si="22"/>
        <v>#DIV/0!</v>
      </c>
      <c r="H79" s="902" t="e">
        <f t="shared" si="22"/>
        <v>#DIV/0!</v>
      </c>
      <c r="I79" s="902" t="e">
        <f t="shared" si="22"/>
        <v>#DIV/0!</v>
      </c>
      <c r="J79" s="902" t="e">
        <f t="shared" si="22"/>
        <v>#DIV/0!</v>
      </c>
    </row>
    <row r="80" spans="1:10">
      <c r="A80" s="889">
        <f>A79+1</f>
        <v>54</v>
      </c>
      <c r="B80" s="469" t="str">
        <f>"Preferred Stock Capital Cost Rate (Ln "&amp;A53&amp;" / Ln "&amp;A52&amp;")"</f>
        <v>Preferred Stock Capital Cost Rate (Ln 36 / Ln 35)</v>
      </c>
      <c r="C80" s="902">
        <f t="shared" ref="C80:J80" si="23">IF(C52=0,0,C53/C52)</f>
        <v>0</v>
      </c>
      <c r="D80" s="902"/>
      <c r="E80" s="902">
        <f t="shared" si="23"/>
        <v>0</v>
      </c>
      <c r="F80" s="902">
        <f t="shared" si="23"/>
        <v>0</v>
      </c>
      <c r="G80" s="902">
        <f t="shared" si="23"/>
        <v>0</v>
      </c>
      <c r="H80" s="902">
        <f t="shared" si="23"/>
        <v>0</v>
      </c>
      <c r="I80" s="902">
        <f t="shared" si="23"/>
        <v>0</v>
      </c>
      <c r="J80" s="902">
        <f t="shared" si="23"/>
        <v>0</v>
      </c>
    </row>
    <row r="81" spans="1:10">
      <c r="A81" s="889">
        <f>A80+1</f>
        <v>55</v>
      </c>
      <c r="B81" s="469" t="s">
        <v>530</v>
      </c>
      <c r="C81" s="902">
        <v>0.1149</v>
      </c>
      <c r="D81" s="902"/>
      <c r="E81" s="902">
        <v>0.1149</v>
      </c>
      <c r="F81" s="902">
        <v>0.1149</v>
      </c>
      <c r="G81" s="902">
        <v>0.1149</v>
      </c>
      <c r="H81" s="902">
        <v>0.1149</v>
      </c>
      <c r="I81" s="902">
        <v>0.1149</v>
      </c>
      <c r="J81" s="902">
        <v>0.1149</v>
      </c>
    </row>
    <row r="83" spans="1:10" ht="15">
      <c r="A83" s="847" t="s">
        <v>531</v>
      </c>
    </row>
    <row r="84" spans="1:10">
      <c r="A84" s="889">
        <f>A81+1</f>
        <v>56</v>
      </c>
      <c r="B84" s="469" t="str">
        <f>"LTD Weighted Capital Cost Rate (Ln "&amp;A68&amp;" * Ln "&amp;A79&amp;")"</f>
        <v>LTD Weighted Capital Cost Rate (Ln 46 * Ln 53)</v>
      </c>
      <c r="C84" s="902" t="e">
        <f>C68*C79</f>
        <v>#DIV/0!</v>
      </c>
      <c r="D84" s="902"/>
      <c r="E84" s="902" t="e">
        <f t="shared" ref="E84:J84" si="24">E68*E79</f>
        <v>#DIV/0!</v>
      </c>
      <c r="F84" s="902" t="e">
        <f t="shared" si="24"/>
        <v>#DIV/0!</v>
      </c>
      <c r="G84" s="902" t="e">
        <f t="shared" si="24"/>
        <v>#DIV/0!</v>
      </c>
      <c r="H84" s="902" t="e">
        <f t="shared" si="24"/>
        <v>#DIV/0!</v>
      </c>
      <c r="I84" s="902" t="e">
        <f t="shared" si="24"/>
        <v>#DIV/0!</v>
      </c>
      <c r="J84" s="902" t="e">
        <f t="shared" si="24"/>
        <v>#DIV/0!</v>
      </c>
    </row>
    <row r="85" spans="1:10">
      <c r="A85" s="889">
        <f>A84+1</f>
        <v>57</v>
      </c>
      <c r="B85" s="469" t="str">
        <f>"Preferred Stock Capital Cost Rate (Ln "&amp;A69&amp;" * Ln "&amp;A80&amp;")"</f>
        <v>Preferred Stock Capital Cost Rate (Ln 47 * Ln 54)</v>
      </c>
      <c r="C85" s="902" t="e">
        <f>C69*C80</f>
        <v>#DIV/0!</v>
      </c>
      <c r="D85" s="902"/>
      <c r="E85" s="902" t="e">
        <f t="shared" ref="E85:J85" si="25">E69*E80</f>
        <v>#DIV/0!</v>
      </c>
      <c r="F85" s="902" t="e">
        <f t="shared" si="25"/>
        <v>#DIV/0!</v>
      </c>
      <c r="G85" s="902" t="e">
        <f t="shared" si="25"/>
        <v>#DIV/0!</v>
      </c>
      <c r="H85" s="902" t="e">
        <f t="shared" si="25"/>
        <v>#DIV/0!</v>
      </c>
      <c r="I85" s="902" t="e">
        <f t="shared" si="25"/>
        <v>#DIV/0!</v>
      </c>
      <c r="J85" s="902" t="e">
        <f t="shared" si="25"/>
        <v>#DIV/0!</v>
      </c>
    </row>
    <row r="86" spans="1:10">
      <c r="A86" s="889">
        <f>A85+1</f>
        <v>58</v>
      </c>
      <c r="B86" s="469" t="str">
        <f>"Common Equity Capital Cost Rate (Ln "&amp;A70&amp;" * Ln "&amp;A81&amp;")"</f>
        <v>Common Equity Capital Cost Rate (Ln 48 * Ln 55)</v>
      </c>
      <c r="C86" s="906" t="e">
        <f>C70*C81</f>
        <v>#DIV/0!</v>
      </c>
      <c r="D86" s="906"/>
      <c r="E86" s="906" t="e">
        <f t="shared" ref="E86:J86" si="26">E70*E81</f>
        <v>#DIV/0!</v>
      </c>
      <c r="F86" s="906" t="e">
        <f t="shared" si="26"/>
        <v>#DIV/0!</v>
      </c>
      <c r="G86" s="906" t="e">
        <f t="shared" si="26"/>
        <v>#DIV/0!</v>
      </c>
      <c r="H86" s="906" t="e">
        <f t="shared" si="26"/>
        <v>#DIV/0!</v>
      </c>
      <c r="I86" s="906" t="e">
        <f t="shared" si="26"/>
        <v>#DIV/0!</v>
      </c>
      <c r="J86" s="906" t="e">
        <f t="shared" si="26"/>
        <v>#DIV/0!</v>
      </c>
    </row>
    <row r="87" spans="1:10">
      <c r="A87" s="889">
        <f>A86+1</f>
        <v>59</v>
      </c>
      <c r="B87" s="907" t="s">
        <v>528</v>
      </c>
      <c r="C87" s="908" t="e">
        <f t="shared" ref="C87:J87" si="27">SUM(C84:C86)</f>
        <v>#DIV/0!</v>
      </c>
      <c r="D87" s="908"/>
      <c r="E87" s="908" t="e">
        <f t="shared" si="27"/>
        <v>#DIV/0!</v>
      </c>
      <c r="F87" s="908" t="e">
        <f t="shared" si="27"/>
        <v>#DIV/0!</v>
      </c>
      <c r="G87" s="908" t="e">
        <f t="shared" si="27"/>
        <v>#DIV/0!</v>
      </c>
      <c r="H87" s="908" t="e">
        <f t="shared" si="27"/>
        <v>#DIV/0!</v>
      </c>
      <c r="I87" s="908" t="e">
        <f t="shared" si="27"/>
        <v>#DIV/0!</v>
      </c>
      <c r="J87" s="908" t="e">
        <f t="shared" si="27"/>
        <v>#DIV/0!</v>
      </c>
    </row>
    <row r="90" spans="1:10">
      <c r="A90" s="1607" t="s">
        <v>507</v>
      </c>
      <c r="B90" s="1607"/>
      <c r="C90" s="1607"/>
      <c r="D90" s="1607"/>
      <c r="E90" s="1607"/>
      <c r="F90" s="1607"/>
      <c r="G90" s="1607"/>
      <c r="H90" s="1607"/>
      <c r="I90" s="1607"/>
      <c r="J90" s="1607"/>
    </row>
    <row r="91" spans="1:10">
      <c r="A91" s="1607" t="str">
        <f>"Consolidation of Operating Companies' Capital Structure @ December 31, "&amp;TCOS!L4-1&amp;""</f>
        <v>Consolidation of Operating Companies' Capital Structure @ December 31, 2021</v>
      </c>
      <c r="B91" s="1607"/>
      <c r="C91" s="1607"/>
      <c r="D91" s="1607"/>
      <c r="E91" s="1607"/>
      <c r="F91" s="1607"/>
      <c r="G91" s="1607"/>
      <c r="H91" s="1607"/>
      <c r="I91" s="1607"/>
      <c r="J91" s="1607"/>
    </row>
    <row r="92" spans="1:10">
      <c r="A92" s="1607" t="s">
        <v>249</v>
      </c>
      <c r="B92" s="1607"/>
      <c r="C92" s="1607"/>
      <c r="D92" s="1607"/>
      <c r="E92" s="1607"/>
      <c r="F92" s="1607"/>
      <c r="G92" s="1607"/>
      <c r="H92" s="1607"/>
      <c r="I92" s="1607"/>
      <c r="J92" s="1607"/>
    </row>
    <row r="93" spans="1:10">
      <c r="B93" s="900"/>
      <c r="C93" s="903"/>
      <c r="D93" s="903"/>
      <c r="E93" s="903"/>
      <c r="F93" s="903"/>
      <c r="G93" s="903"/>
      <c r="H93" s="903"/>
      <c r="I93" s="903"/>
      <c r="J93" s="903"/>
    </row>
    <row r="94" spans="1:10" ht="76.5">
      <c r="A94" s="889" t="s">
        <v>461</v>
      </c>
      <c r="C94" s="890" t="s">
        <v>508</v>
      </c>
      <c r="D94" s="890"/>
      <c r="E94" s="890" t="s">
        <v>509</v>
      </c>
      <c r="F94" s="890" t="s">
        <v>510</v>
      </c>
      <c r="G94" s="890" t="s">
        <v>511</v>
      </c>
      <c r="H94" s="890" t="s">
        <v>512</v>
      </c>
      <c r="I94" s="890" t="s">
        <v>513</v>
      </c>
      <c r="J94" s="890" t="s">
        <v>514</v>
      </c>
    </row>
    <row r="95" spans="1:10" ht="15">
      <c r="A95" s="847" t="s">
        <v>515</v>
      </c>
    </row>
    <row r="96" spans="1:10">
      <c r="A96" s="889">
        <f>A87+1</f>
        <v>60</v>
      </c>
      <c r="B96" s="851" t="s">
        <v>338</v>
      </c>
      <c r="C96" s="854"/>
      <c r="D96" s="854"/>
      <c r="E96" s="854"/>
      <c r="F96" s="854"/>
      <c r="G96" s="854"/>
      <c r="H96" s="854"/>
      <c r="I96" s="854"/>
      <c r="J96" s="834">
        <f>SUM(C96:I96)</f>
        <v>0</v>
      </c>
    </row>
    <row r="97" spans="1:10">
      <c r="A97" s="889">
        <f>A96+1</f>
        <v>61</v>
      </c>
      <c r="B97" s="851" t="s">
        <v>339</v>
      </c>
      <c r="C97" s="854"/>
      <c r="D97" s="854"/>
      <c r="E97" s="854"/>
      <c r="F97" s="854"/>
      <c r="G97" s="854"/>
      <c r="H97" s="854"/>
      <c r="I97" s="854"/>
      <c r="J97" s="834">
        <f>SUM(C97:I97)</f>
        <v>0</v>
      </c>
    </row>
    <row r="98" spans="1:10">
      <c r="A98" s="889">
        <f>A97+1</f>
        <v>62</v>
      </c>
      <c r="B98" s="852" t="s">
        <v>23</v>
      </c>
      <c r="C98" s="854"/>
      <c r="D98" s="854"/>
      <c r="E98" s="854"/>
      <c r="F98" s="854"/>
      <c r="G98" s="854"/>
      <c r="H98" s="854"/>
      <c r="I98" s="854"/>
      <c r="J98" s="834">
        <f>SUM(C98:I98)</f>
        <v>0</v>
      </c>
    </row>
    <row r="99" spans="1:10">
      <c r="A99" s="889">
        <f>A98+1</f>
        <v>63</v>
      </c>
      <c r="B99" s="852" t="s">
        <v>17</v>
      </c>
      <c r="C99" s="854"/>
      <c r="D99" s="854"/>
      <c r="E99" s="854"/>
      <c r="F99" s="854"/>
      <c r="G99" s="854"/>
      <c r="H99" s="854"/>
      <c r="I99" s="854"/>
      <c r="J99" s="834">
        <f>SUM(C99:I99)</f>
        <v>0</v>
      </c>
    </row>
    <row r="100" spans="1:10">
      <c r="A100" s="889">
        <f>A99+1</f>
        <v>64</v>
      </c>
      <c r="B100" s="852" t="str">
        <f>"Less: Fair Value Hedges (See Note on Ln "&amp;A103&amp;" below)"</f>
        <v>Less: Fair Value Hedges (See Note on Ln 66 below)</v>
      </c>
      <c r="C100" s="147"/>
      <c r="D100" s="147"/>
      <c r="E100" s="147"/>
      <c r="F100" s="147"/>
      <c r="G100" s="147"/>
      <c r="H100" s="147"/>
      <c r="I100" s="147"/>
      <c r="J100" s="891">
        <f>SUM(C100:I100)</f>
        <v>0</v>
      </c>
    </row>
    <row r="101" spans="1:10">
      <c r="A101" s="889">
        <f>A100+1</f>
        <v>65</v>
      </c>
      <c r="B101" s="853" t="s">
        <v>59</v>
      </c>
      <c r="C101" s="892">
        <f t="shared" ref="C101:J101" si="28">C96-C97+C98+C99-C100</f>
        <v>0</v>
      </c>
      <c r="D101" s="892"/>
      <c r="E101" s="892">
        <f t="shared" si="28"/>
        <v>0</v>
      </c>
      <c r="F101" s="892">
        <f t="shared" si="28"/>
        <v>0</v>
      </c>
      <c r="G101" s="892">
        <f t="shared" si="28"/>
        <v>0</v>
      </c>
      <c r="H101" s="892">
        <f t="shared" si="28"/>
        <v>0</v>
      </c>
      <c r="I101" s="892">
        <f t="shared" si="28"/>
        <v>0</v>
      </c>
      <c r="J101" s="892">
        <f t="shared" si="28"/>
        <v>0</v>
      </c>
    </row>
    <row r="103" spans="1:10">
      <c r="A103" s="889">
        <f>A101+1</f>
        <v>66</v>
      </c>
      <c r="B103" s="1606" t="s">
        <v>58</v>
      </c>
      <c r="C103" s="1606"/>
      <c r="D103" s="1606"/>
      <c r="E103" s="1606"/>
      <c r="F103" s="1606"/>
      <c r="G103" s="1606"/>
      <c r="H103" s="1606"/>
      <c r="I103" s="1606"/>
      <c r="J103" s="1606"/>
    </row>
    <row r="104" spans="1:10">
      <c r="B104" s="893"/>
      <c r="C104" s="893"/>
      <c r="D104" s="893"/>
      <c r="E104" s="893"/>
      <c r="F104" s="893"/>
      <c r="G104" s="893"/>
      <c r="H104" s="893"/>
      <c r="I104" s="893"/>
      <c r="J104" s="893"/>
    </row>
    <row r="105" spans="1:10" ht="15">
      <c r="A105" s="847" t="s">
        <v>516</v>
      </c>
    </row>
    <row r="106" spans="1:10">
      <c r="A106" s="889">
        <f>A103+1</f>
        <v>67</v>
      </c>
      <c r="B106" s="851" t="s">
        <v>340</v>
      </c>
      <c r="C106" s="146"/>
      <c r="D106" s="146"/>
      <c r="E106" s="146"/>
      <c r="F106" s="146"/>
      <c r="G106" s="146"/>
      <c r="H106" s="146"/>
      <c r="I106" s="146"/>
      <c r="J106" s="490">
        <f t="shared" ref="J106:J111" si="29">SUM(C106:I106)</f>
        <v>0</v>
      </c>
    </row>
    <row r="107" spans="1:10">
      <c r="A107" s="889">
        <f t="shared" ref="A107:A112" si="30">A106+1</f>
        <v>68</v>
      </c>
      <c r="B107" s="851" t="s">
        <v>333</v>
      </c>
      <c r="C107" s="146"/>
      <c r="D107" s="146"/>
      <c r="E107" s="146"/>
      <c r="F107" s="146"/>
      <c r="G107" s="146"/>
      <c r="H107" s="146"/>
      <c r="I107" s="146"/>
      <c r="J107" s="490">
        <f t="shared" si="29"/>
        <v>0</v>
      </c>
    </row>
    <row r="108" spans="1:10">
      <c r="A108" s="889">
        <f t="shared" si="30"/>
        <v>69</v>
      </c>
      <c r="B108" s="851" t="s">
        <v>334</v>
      </c>
      <c r="C108" s="146"/>
      <c r="D108" s="146"/>
      <c r="E108" s="146"/>
      <c r="F108" s="146"/>
      <c r="G108" s="146"/>
      <c r="H108" s="146"/>
      <c r="I108" s="146"/>
      <c r="J108" s="490">
        <f t="shared" si="29"/>
        <v>0</v>
      </c>
    </row>
    <row r="109" spans="1:10">
      <c r="A109" s="889">
        <f t="shared" si="30"/>
        <v>70</v>
      </c>
      <c r="B109" s="851" t="s">
        <v>335</v>
      </c>
      <c r="C109" s="854"/>
      <c r="D109" s="854"/>
      <c r="E109" s="854"/>
      <c r="F109" s="854"/>
      <c r="G109" s="854"/>
      <c r="H109" s="854"/>
      <c r="I109" s="854"/>
      <c r="J109" s="834">
        <f t="shared" si="29"/>
        <v>0</v>
      </c>
    </row>
    <row r="110" spans="1:10">
      <c r="A110" s="889">
        <f t="shared" si="30"/>
        <v>71</v>
      </c>
      <c r="B110" s="851" t="s">
        <v>336</v>
      </c>
      <c r="C110" s="854"/>
      <c r="D110" s="854"/>
      <c r="E110" s="854"/>
      <c r="F110" s="854"/>
      <c r="G110" s="854"/>
      <c r="H110" s="854"/>
      <c r="I110" s="854"/>
      <c r="J110" s="834">
        <f t="shared" si="29"/>
        <v>0</v>
      </c>
    </row>
    <row r="111" spans="1:10">
      <c r="A111" s="889">
        <f t="shared" si="30"/>
        <v>72</v>
      </c>
      <c r="B111" s="894" t="s">
        <v>517</v>
      </c>
      <c r="C111" s="147"/>
      <c r="D111" s="147"/>
      <c r="E111" s="147"/>
      <c r="F111" s="147"/>
      <c r="G111" s="147"/>
      <c r="H111" s="147"/>
      <c r="I111" s="147"/>
      <c r="J111" s="891">
        <f t="shared" si="29"/>
        <v>0</v>
      </c>
    </row>
    <row r="112" spans="1:10">
      <c r="A112" s="889">
        <f t="shared" si="30"/>
        <v>73</v>
      </c>
      <c r="B112" s="895" t="s">
        <v>60</v>
      </c>
      <c r="C112" s="896">
        <f t="shared" ref="C112:J112" si="31">C106+C107+C108-C109-C110-C111</f>
        <v>0</v>
      </c>
      <c r="D112" s="896"/>
      <c r="E112" s="896">
        <f t="shared" si="31"/>
        <v>0</v>
      </c>
      <c r="F112" s="896">
        <f t="shared" si="31"/>
        <v>0</v>
      </c>
      <c r="G112" s="896">
        <f t="shared" si="31"/>
        <v>0</v>
      </c>
      <c r="H112" s="896">
        <f t="shared" si="31"/>
        <v>0</v>
      </c>
      <c r="I112" s="896">
        <f t="shared" si="31"/>
        <v>0</v>
      </c>
      <c r="J112" s="896">
        <f t="shared" si="31"/>
        <v>0</v>
      </c>
    </row>
    <row r="114" spans="1:10" ht="15">
      <c r="A114" s="847" t="s">
        <v>518</v>
      </c>
      <c r="B114" s="897"/>
      <c r="C114" s="897"/>
      <c r="D114" s="897"/>
      <c r="E114" s="897"/>
    </row>
    <row r="115" spans="1:10">
      <c r="A115" s="889">
        <f>A112+1</f>
        <v>74</v>
      </c>
      <c r="B115" s="850" t="s">
        <v>519</v>
      </c>
      <c r="C115" s="855"/>
      <c r="D115" s="918"/>
      <c r="E115" s="919"/>
      <c r="F115" s="918"/>
      <c r="G115" s="918"/>
      <c r="H115" s="855"/>
      <c r="I115" s="918"/>
      <c r="J115" s="898"/>
    </row>
    <row r="116" spans="1:10">
      <c r="A116" s="889">
        <f>A115+1</f>
        <v>75</v>
      </c>
      <c r="B116" s="850" t="s">
        <v>520</v>
      </c>
      <c r="C116" s="856"/>
      <c r="D116" s="920"/>
      <c r="E116" s="856"/>
      <c r="F116" s="920"/>
      <c r="G116" s="920"/>
      <c r="H116" s="856"/>
      <c r="I116" s="920"/>
      <c r="J116" s="899"/>
    </row>
    <row r="117" spans="1:10">
      <c r="A117" s="889">
        <f>A116+1</f>
        <v>76</v>
      </c>
      <c r="B117" s="850" t="s">
        <v>521</v>
      </c>
      <c r="C117" s="146"/>
      <c r="D117" s="921"/>
      <c r="E117" s="146"/>
      <c r="F117" s="921"/>
      <c r="G117" s="921"/>
      <c r="H117" s="146"/>
      <c r="I117" s="921"/>
    </row>
    <row r="118" spans="1:10">
      <c r="A118" s="889">
        <f>A117+1</f>
        <v>77</v>
      </c>
      <c r="B118" s="850"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6">
        <f>SUM(C118:I118)</f>
        <v>0</v>
      </c>
    </row>
    <row r="119" spans="1:10">
      <c r="A119" s="889">
        <f>A118+1</f>
        <v>78</v>
      </c>
      <c r="B119" s="850"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6">
        <f>SUM(C119:I119)</f>
        <v>0</v>
      </c>
    </row>
    <row r="121" spans="1:10">
      <c r="A121" s="889">
        <f>A119+1</f>
        <v>79</v>
      </c>
      <c r="B121" s="850" t="s">
        <v>519</v>
      </c>
      <c r="C121" s="855"/>
      <c r="D121" s="918"/>
      <c r="E121" s="919"/>
      <c r="F121" s="918"/>
      <c r="G121" s="918"/>
      <c r="H121" s="855"/>
      <c r="I121" s="918"/>
    </row>
    <row r="122" spans="1:10">
      <c r="A122" s="889">
        <f>A121+1</f>
        <v>80</v>
      </c>
      <c r="B122" s="850" t="s">
        <v>520</v>
      </c>
      <c r="C122" s="856"/>
      <c r="D122" s="920"/>
      <c r="E122" s="856"/>
      <c r="F122" s="920"/>
      <c r="G122" s="920"/>
      <c r="H122" s="856"/>
      <c r="I122" s="920"/>
    </row>
    <row r="123" spans="1:10">
      <c r="A123" s="889">
        <f>A122+1</f>
        <v>81</v>
      </c>
      <c r="B123" s="850" t="s">
        <v>521</v>
      </c>
      <c r="C123" s="146"/>
      <c r="D123" s="921"/>
      <c r="E123" s="146"/>
      <c r="F123" s="921"/>
      <c r="G123" s="921"/>
      <c r="H123" s="146"/>
      <c r="I123" s="921"/>
    </row>
    <row r="124" spans="1:10">
      <c r="A124" s="889">
        <f>A123+1</f>
        <v>82</v>
      </c>
      <c r="B124" s="850"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6">
        <f>SUM(C124:I124)</f>
        <v>0</v>
      </c>
    </row>
    <row r="125" spans="1:10">
      <c r="A125" s="889">
        <f>A124+1</f>
        <v>83</v>
      </c>
      <c r="B125" s="850"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6">
        <f>SUM(C125:I125)</f>
        <v>0</v>
      </c>
    </row>
    <row r="127" spans="1:10">
      <c r="A127" s="889">
        <f>A125+1</f>
        <v>84</v>
      </c>
      <c r="B127" s="850" t="s">
        <v>519</v>
      </c>
      <c r="C127" s="855"/>
      <c r="D127" s="918"/>
      <c r="E127" s="919"/>
      <c r="F127" s="918"/>
      <c r="G127" s="918"/>
      <c r="H127" s="855"/>
      <c r="I127" s="918"/>
    </row>
    <row r="128" spans="1:10">
      <c r="A128" s="889">
        <f>A127+1</f>
        <v>85</v>
      </c>
      <c r="B128" s="850" t="s">
        <v>520</v>
      </c>
      <c r="C128" s="856"/>
      <c r="D128" s="920"/>
      <c r="E128" s="856"/>
      <c r="F128" s="920"/>
      <c r="G128" s="920"/>
      <c r="H128" s="856"/>
      <c r="I128" s="920"/>
    </row>
    <row r="129" spans="1:10">
      <c r="A129" s="889">
        <f>A128+1</f>
        <v>86</v>
      </c>
      <c r="B129" s="850" t="s">
        <v>521</v>
      </c>
      <c r="C129" s="146"/>
      <c r="D129" s="921"/>
      <c r="E129" s="146"/>
      <c r="F129" s="921"/>
      <c r="G129" s="921"/>
      <c r="H129" s="146"/>
      <c r="I129" s="921"/>
    </row>
    <row r="130" spans="1:10">
      <c r="A130" s="889">
        <f>A129+1</f>
        <v>87</v>
      </c>
      <c r="B130" s="850"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6">
        <f>SUM(C130:I130)</f>
        <v>0</v>
      </c>
    </row>
    <row r="131" spans="1:10">
      <c r="A131" s="889">
        <f>A130+1</f>
        <v>88</v>
      </c>
      <c r="B131" s="850"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6">
        <f>SUM(C131:I131)</f>
        <v>0</v>
      </c>
    </row>
    <row r="133" spans="1:10">
      <c r="A133" s="889">
        <f>A131+1</f>
        <v>89</v>
      </c>
      <c r="B133" s="850" t="s">
        <v>519</v>
      </c>
      <c r="C133" s="855"/>
      <c r="D133" s="918"/>
      <c r="E133" s="919"/>
      <c r="F133" s="918"/>
      <c r="G133" s="918"/>
      <c r="H133" s="855"/>
      <c r="I133" s="918"/>
    </row>
    <row r="134" spans="1:10">
      <c r="A134" s="889">
        <f>A133+1</f>
        <v>90</v>
      </c>
      <c r="B134" s="850" t="s">
        <v>520</v>
      </c>
      <c r="C134" s="856"/>
      <c r="D134" s="920"/>
      <c r="E134" s="856"/>
      <c r="F134" s="920"/>
      <c r="G134" s="920"/>
      <c r="H134" s="856"/>
      <c r="I134" s="920"/>
    </row>
    <row r="135" spans="1:10">
      <c r="A135" s="889">
        <f>A134+1</f>
        <v>91</v>
      </c>
      <c r="B135" s="850" t="s">
        <v>521</v>
      </c>
      <c r="C135" s="146"/>
      <c r="D135" s="921"/>
      <c r="E135" s="146"/>
      <c r="F135" s="921"/>
      <c r="G135" s="921"/>
      <c r="H135" s="146"/>
      <c r="I135" s="921"/>
    </row>
    <row r="136" spans="1:10">
      <c r="A136" s="889">
        <f>A135+1</f>
        <v>92</v>
      </c>
      <c r="B136" s="850"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6">
        <f>SUM(C136:I136)</f>
        <v>0</v>
      </c>
    </row>
    <row r="137" spans="1:10">
      <c r="A137" s="889">
        <f>A136+1</f>
        <v>93</v>
      </c>
      <c r="B137" s="850"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6">
        <f>SUM(C137:I137)</f>
        <v>0</v>
      </c>
    </row>
    <row r="138" spans="1:10">
      <c r="B138" s="850"/>
    </row>
    <row r="139" spans="1:10">
      <c r="A139" s="889">
        <f>A137+1</f>
        <v>94</v>
      </c>
      <c r="B139" s="848" t="str">
        <f>"Preferred Stock (Lns "&amp;A118&amp;", "&amp;A124&amp;", "&amp;A130&amp;","&amp;A136&amp;")"</f>
        <v>Preferred Stock (Lns 77, 82, 87,92)</v>
      </c>
      <c r="C139" s="896">
        <f t="shared" ref="C139:I140" si="40">C118+C124+C130+C136</f>
        <v>0</v>
      </c>
      <c r="D139" s="896"/>
      <c r="E139" s="896">
        <f t="shared" si="40"/>
        <v>0</v>
      </c>
      <c r="F139" s="896">
        <f t="shared" si="40"/>
        <v>0</v>
      </c>
      <c r="G139" s="896">
        <f t="shared" si="40"/>
        <v>0</v>
      </c>
      <c r="H139" s="896">
        <f t="shared" si="40"/>
        <v>0</v>
      </c>
      <c r="I139" s="896">
        <f t="shared" si="40"/>
        <v>0</v>
      </c>
      <c r="J139" s="896">
        <f>SUM(C139:I139)</f>
        <v>0</v>
      </c>
    </row>
    <row r="140" spans="1:10">
      <c r="A140" s="889">
        <f>A139+1</f>
        <v>95</v>
      </c>
      <c r="B140" s="848" t="str">
        <f>"Preferred Dividends (Lns "&amp;A119&amp;", "&amp;A125&amp;", "&amp;A131&amp;","&amp;A137&amp;")"</f>
        <v>Preferred Dividends (Lns 78, 83, 88,93)</v>
      </c>
      <c r="C140" s="896">
        <f t="shared" si="40"/>
        <v>0</v>
      </c>
      <c r="D140" s="896"/>
      <c r="E140" s="896">
        <f t="shared" si="40"/>
        <v>0</v>
      </c>
      <c r="F140" s="896">
        <f t="shared" si="40"/>
        <v>0</v>
      </c>
      <c r="G140" s="896">
        <f t="shared" si="40"/>
        <v>0</v>
      </c>
      <c r="H140" s="896">
        <f t="shared" si="40"/>
        <v>0</v>
      </c>
      <c r="I140" s="896">
        <f t="shared" si="40"/>
        <v>0</v>
      </c>
      <c r="J140" s="896">
        <f>SUM(C140:I140)</f>
        <v>0</v>
      </c>
    </row>
    <row r="141" spans="1:10">
      <c r="B141" s="900"/>
    </row>
    <row r="142" spans="1:10" ht="15">
      <c r="A142" s="847" t="s">
        <v>522</v>
      </c>
    </row>
    <row r="143" spans="1:10">
      <c r="A143" s="889">
        <f>A140+1</f>
        <v>96</v>
      </c>
      <c r="B143" s="666" t="s">
        <v>523</v>
      </c>
      <c r="C143" s="146"/>
      <c r="D143" s="146"/>
      <c r="E143" s="146"/>
      <c r="F143" s="146"/>
      <c r="G143" s="146"/>
      <c r="H143" s="146"/>
      <c r="I143" s="146"/>
      <c r="J143" s="896">
        <f>SUM(C143:I143)</f>
        <v>0</v>
      </c>
    </row>
    <row r="144" spans="1:10">
      <c r="A144" s="889">
        <f>A143+1</f>
        <v>97</v>
      </c>
      <c r="B144" s="666" t="str">
        <f>"Less: Preferred Stock (Ln "&amp;A139&amp;" Above)"</f>
        <v>Less: Preferred Stock (Ln 94 Above)</v>
      </c>
      <c r="C144" s="490">
        <f>C139</f>
        <v>0</v>
      </c>
      <c r="D144" s="490"/>
      <c r="E144" s="490">
        <f>E139</f>
        <v>0</v>
      </c>
      <c r="F144" s="490">
        <f>F139</f>
        <v>0</v>
      </c>
      <c r="G144" s="490">
        <f>G139</f>
        <v>0</v>
      </c>
      <c r="H144" s="490">
        <f>H139</f>
        <v>0</v>
      </c>
      <c r="I144" s="490">
        <f>I139</f>
        <v>0</v>
      </c>
      <c r="J144" s="896">
        <f>SUM(C144:I144)</f>
        <v>0</v>
      </c>
    </row>
    <row r="145" spans="1:10">
      <c r="A145" s="889">
        <f>A144+1</f>
        <v>98</v>
      </c>
      <c r="B145" s="666" t="s">
        <v>524</v>
      </c>
      <c r="C145" s="854"/>
      <c r="D145" s="854"/>
      <c r="E145" s="854"/>
      <c r="F145" s="854"/>
      <c r="G145" s="854"/>
      <c r="H145" s="854"/>
      <c r="I145" s="854"/>
      <c r="J145" s="896">
        <f>SUM(C145:I145)</f>
        <v>0</v>
      </c>
    </row>
    <row r="146" spans="1:10">
      <c r="A146" s="889">
        <f>A145+1</f>
        <v>99</v>
      </c>
      <c r="B146" s="666" t="s">
        <v>525</v>
      </c>
      <c r="C146" s="147"/>
      <c r="D146" s="147"/>
      <c r="E146" s="147"/>
      <c r="F146" s="147"/>
      <c r="G146" s="147"/>
      <c r="H146" s="147"/>
      <c r="I146" s="147"/>
      <c r="J146" s="901">
        <f>SUM(C146:I146)</f>
        <v>0</v>
      </c>
    </row>
    <row r="147" spans="1:10">
      <c r="A147" s="889">
        <f>A146+1</f>
        <v>100</v>
      </c>
      <c r="B147" s="849" t="s">
        <v>526</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527</v>
      </c>
    </row>
    <row r="150" spans="1:10">
      <c r="A150" s="889">
        <f>A147+1</f>
        <v>101</v>
      </c>
      <c r="B150" s="469" t="str">
        <f>"Long Term Debt (Ln "&amp;A101&amp;" Above)"</f>
        <v>Long Term Debt (Ln 65 Above)</v>
      </c>
      <c r="C150" s="896">
        <f t="shared" ref="C150:J150" si="42">C101</f>
        <v>0</v>
      </c>
      <c r="D150" s="896"/>
      <c r="E150" s="896">
        <f t="shared" si="42"/>
        <v>0</v>
      </c>
      <c r="F150" s="896">
        <f t="shared" si="42"/>
        <v>0</v>
      </c>
      <c r="G150" s="896">
        <f t="shared" si="42"/>
        <v>0</v>
      </c>
      <c r="H150" s="896">
        <f t="shared" si="42"/>
        <v>0</v>
      </c>
      <c r="I150" s="896">
        <f t="shared" si="42"/>
        <v>0</v>
      </c>
      <c r="J150" s="896">
        <f t="shared" si="42"/>
        <v>0</v>
      </c>
    </row>
    <row r="151" spans="1:10">
      <c r="A151" s="889">
        <f>A150+1</f>
        <v>102</v>
      </c>
      <c r="B151" s="469" t="str">
        <f>"Preferred Stock (Ln "&amp;A139&amp;" Above)"</f>
        <v>Preferred Stock (Ln 94 Above)</v>
      </c>
      <c r="C151" s="896">
        <f t="shared" ref="C151:J151" si="43">C139</f>
        <v>0</v>
      </c>
      <c r="D151" s="896"/>
      <c r="E151" s="896">
        <f t="shared" si="43"/>
        <v>0</v>
      </c>
      <c r="F151" s="896">
        <f t="shared" si="43"/>
        <v>0</v>
      </c>
      <c r="G151" s="896">
        <f t="shared" si="43"/>
        <v>0</v>
      </c>
      <c r="H151" s="896">
        <f t="shared" si="43"/>
        <v>0</v>
      </c>
      <c r="I151" s="896">
        <f t="shared" si="43"/>
        <v>0</v>
      </c>
      <c r="J151" s="896">
        <f t="shared" si="43"/>
        <v>0</v>
      </c>
    </row>
    <row r="152" spans="1:10">
      <c r="A152" s="889">
        <f>A151+1</f>
        <v>103</v>
      </c>
      <c r="B152" s="469" t="str">
        <f>"Common Equity (Ln "&amp;A147&amp;" Above)"</f>
        <v>Common Equity (Ln 100 Above)</v>
      </c>
      <c r="C152" s="901">
        <f t="shared" ref="C152:J152" si="44">C147</f>
        <v>0</v>
      </c>
      <c r="D152" s="901"/>
      <c r="E152" s="901">
        <f t="shared" si="44"/>
        <v>0</v>
      </c>
      <c r="F152" s="901">
        <f t="shared" si="44"/>
        <v>0</v>
      </c>
      <c r="G152" s="901">
        <f t="shared" si="44"/>
        <v>0</v>
      </c>
      <c r="H152" s="901">
        <f t="shared" si="44"/>
        <v>0</v>
      </c>
      <c r="I152" s="901">
        <f t="shared" si="44"/>
        <v>0</v>
      </c>
      <c r="J152" s="901">
        <f t="shared" si="44"/>
        <v>0</v>
      </c>
    </row>
    <row r="153" spans="1:10">
      <c r="A153" s="889">
        <f>A152+1</f>
        <v>104</v>
      </c>
      <c r="B153" s="889" t="s">
        <v>528</v>
      </c>
      <c r="C153" s="896">
        <f t="shared" ref="C153:J153" si="45">SUM(C150:C152)</f>
        <v>0</v>
      </c>
      <c r="D153" s="896"/>
      <c r="E153" s="896">
        <f t="shared" si="45"/>
        <v>0</v>
      </c>
      <c r="F153" s="896">
        <f t="shared" si="45"/>
        <v>0</v>
      </c>
      <c r="G153" s="896">
        <f t="shared" si="45"/>
        <v>0</v>
      </c>
      <c r="H153" s="896">
        <f t="shared" si="45"/>
        <v>0</v>
      </c>
      <c r="I153" s="896">
        <f t="shared" si="45"/>
        <v>0</v>
      </c>
      <c r="J153" s="896">
        <f t="shared" si="45"/>
        <v>0</v>
      </c>
    </row>
    <row r="155" spans="1:10">
      <c r="A155" s="889">
        <f>A153+1</f>
        <v>105</v>
      </c>
      <c r="B155" s="469" t="str">
        <f>"LTD Capital Shares (Ln "&amp;A150&amp;" / Ln "&amp;A153&amp;")"</f>
        <v>LTD Capital Shares (Ln 101 / Ln 104)</v>
      </c>
      <c r="C155" s="902" t="e">
        <f t="shared" ref="C155:J155" si="46">C150/C153</f>
        <v>#DIV/0!</v>
      </c>
      <c r="D155" s="902"/>
      <c r="E155" s="902" t="e">
        <f t="shared" si="46"/>
        <v>#DIV/0!</v>
      </c>
      <c r="F155" s="902" t="e">
        <f t="shared" si="46"/>
        <v>#DIV/0!</v>
      </c>
      <c r="G155" s="902" t="e">
        <f t="shared" si="46"/>
        <v>#DIV/0!</v>
      </c>
      <c r="H155" s="902" t="e">
        <f t="shared" si="46"/>
        <v>#DIV/0!</v>
      </c>
      <c r="I155" s="902" t="e">
        <f t="shared" si="46"/>
        <v>#DIV/0!</v>
      </c>
      <c r="J155" s="902" t="e">
        <f t="shared" si="46"/>
        <v>#DIV/0!</v>
      </c>
    </row>
    <row r="156" spans="1:10">
      <c r="A156" s="889">
        <f>A155+1</f>
        <v>106</v>
      </c>
      <c r="B156" s="469" t="str">
        <f>"Preferred Stock Capital Shares (Ln "&amp;A151&amp;" / Ln "&amp;A153&amp;")"</f>
        <v>Preferred Stock Capital Shares (Ln 102 / Ln 104)</v>
      </c>
      <c r="C156" s="902" t="e">
        <f t="shared" ref="C156:J156" si="47">C151/C153</f>
        <v>#DIV/0!</v>
      </c>
      <c r="D156" s="902"/>
      <c r="E156" s="902" t="e">
        <f t="shared" si="47"/>
        <v>#DIV/0!</v>
      </c>
      <c r="F156" s="902" t="e">
        <f t="shared" si="47"/>
        <v>#DIV/0!</v>
      </c>
      <c r="G156" s="902" t="e">
        <f t="shared" si="47"/>
        <v>#DIV/0!</v>
      </c>
      <c r="H156" s="902" t="e">
        <f t="shared" si="47"/>
        <v>#DIV/0!</v>
      </c>
      <c r="I156" s="902" t="e">
        <f t="shared" si="47"/>
        <v>#DIV/0!</v>
      </c>
      <c r="J156" s="902" t="e">
        <f t="shared" si="47"/>
        <v>#DIV/0!</v>
      </c>
    </row>
    <row r="157" spans="1:10">
      <c r="A157" s="903">
        <f>A156+1</f>
        <v>107</v>
      </c>
      <c r="B157" s="469" t="str">
        <f>"Common Equity Capital Shares (Ln "&amp;A152&amp;" / Ln "&amp;A153&amp;")"</f>
        <v>Common Equity Capital Shares (Ln 103 / Ln 104)</v>
      </c>
      <c r="C157" s="904" t="e">
        <f t="shared" ref="C157:J157" si="48">C152/C153</f>
        <v>#DIV/0!</v>
      </c>
      <c r="D157" s="904"/>
      <c r="E157" s="904" t="e">
        <f t="shared" si="48"/>
        <v>#DIV/0!</v>
      </c>
      <c r="F157" s="904" t="e">
        <f t="shared" si="48"/>
        <v>#DIV/0!</v>
      </c>
      <c r="G157" s="904" t="e">
        <f t="shared" si="48"/>
        <v>#DIV/0!</v>
      </c>
      <c r="H157" s="904" t="e">
        <f t="shared" si="48"/>
        <v>#DIV/0!</v>
      </c>
      <c r="I157" s="904" t="e">
        <f t="shared" si="48"/>
        <v>#DIV/0!</v>
      </c>
      <c r="J157" s="904" t="e">
        <f t="shared" si="48"/>
        <v>#DIV/0!</v>
      </c>
    </row>
    <row r="158" spans="1:10">
      <c r="A158" s="903"/>
      <c r="B158" s="469"/>
      <c r="C158" s="904"/>
      <c r="D158" s="904"/>
      <c r="E158" s="904"/>
      <c r="F158" s="904"/>
      <c r="G158" s="904"/>
      <c r="H158" s="904"/>
      <c r="I158" s="904"/>
      <c r="J158" s="904"/>
    </row>
    <row r="159" spans="1:10">
      <c r="A159" s="903">
        <f>A157+1</f>
        <v>108</v>
      </c>
      <c r="B159" s="848" t="s">
        <v>558</v>
      </c>
      <c r="C159" s="905"/>
      <c r="D159" s="905"/>
      <c r="E159" s="905"/>
      <c r="F159" s="905"/>
      <c r="G159" s="905"/>
      <c r="H159" s="905"/>
      <c r="I159" s="905"/>
      <c r="J159" s="905"/>
    </row>
    <row r="160" spans="1:10">
      <c r="A160" s="903"/>
      <c r="B160" s="469"/>
      <c r="C160" s="904"/>
      <c r="D160" s="904"/>
      <c r="E160" s="904"/>
      <c r="F160" s="904"/>
      <c r="G160" s="904"/>
      <c r="H160" s="904"/>
      <c r="I160" s="904"/>
      <c r="J160" s="904"/>
    </row>
    <row r="161" spans="1:10">
      <c r="A161" s="903">
        <f>A159+1</f>
        <v>109</v>
      </c>
      <c r="B161" s="848" t="s">
        <v>558</v>
      </c>
      <c r="C161" s="904"/>
      <c r="D161" s="904"/>
      <c r="E161" s="904"/>
      <c r="F161" s="904"/>
      <c r="G161" s="904"/>
      <c r="H161" s="904"/>
      <c r="I161" s="904"/>
      <c r="J161" s="904"/>
    </row>
    <row r="162" spans="1:10">
      <c r="A162" s="903">
        <f>A161+1</f>
        <v>110</v>
      </c>
      <c r="B162" s="848" t="s">
        <v>558</v>
      </c>
      <c r="C162" s="904"/>
      <c r="D162" s="904"/>
      <c r="E162" s="904"/>
      <c r="F162" s="904"/>
      <c r="G162" s="904"/>
      <c r="H162" s="904"/>
      <c r="I162" s="904"/>
      <c r="J162" s="904"/>
    </row>
    <row r="163" spans="1:10">
      <c r="A163" s="903">
        <f>A162+1</f>
        <v>111</v>
      </c>
      <c r="B163" s="848" t="s">
        <v>558</v>
      </c>
      <c r="C163" s="904"/>
      <c r="D163" s="904"/>
      <c r="E163" s="904"/>
      <c r="F163" s="904"/>
      <c r="G163" s="904"/>
      <c r="H163" s="904"/>
      <c r="I163" s="904"/>
      <c r="J163" s="904"/>
    </row>
    <row r="164" spans="1:10">
      <c r="B164" s="469"/>
      <c r="C164" s="902"/>
      <c r="D164" s="902"/>
      <c r="E164" s="902"/>
      <c r="F164" s="902"/>
      <c r="G164" s="902"/>
      <c r="H164" s="902"/>
      <c r="I164" s="902"/>
      <c r="J164" s="902"/>
    </row>
    <row r="165" spans="1:10" ht="15">
      <c r="A165" s="847" t="s">
        <v>529</v>
      </c>
    </row>
    <row r="166" spans="1:10">
      <c r="A166" s="889">
        <f>A163+1</f>
        <v>112</v>
      </c>
      <c r="B166" s="469" t="str">
        <f>"LTD Capital Cost Rate (Ln "&amp;A112&amp;" / Ln "&amp;A101&amp;")"</f>
        <v>LTD Capital Cost Rate (Ln 73 / Ln 65)</v>
      </c>
      <c r="C166" s="902" t="e">
        <f t="shared" ref="C166:J166" si="49">C112/C101</f>
        <v>#DIV/0!</v>
      </c>
      <c r="D166" s="902"/>
      <c r="E166" s="902" t="e">
        <f t="shared" si="49"/>
        <v>#DIV/0!</v>
      </c>
      <c r="F166" s="902" t="e">
        <f t="shared" si="49"/>
        <v>#DIV/0!</v>
      </c>
      <c r="G166" s="902" t="e">
        <f t="shared" si="49"/>
        <v>#DIV/0!</v>
      </c>
      <c r="H166" s="902" t="e">
        <f t="shared" si="49"/>
        <v>#DIV/0!</v>
      </c>
      <c r="I166" s="902" t="e">
        <f t="shared" si="49"/>
        <v>#DIV/0!</v>
      </c>
      <c r="J166" s="902" t="e">
        <f t="shared" si="49"/>
        <v>#DIV/0!</v>
      </c>
    </row>
    <row r="167" spans="1:10">
      <c r="A167" s="889">
        <f>A166+1</f>
        <v>113</v>
      </c>
      <c r="B167" s="469" t="str">
        <f>"Preferred Stock Capital Cost Rate (Ln "&amp;A140&amp;" / Ln "&amp;A139&amp;")"</f>
        <v>Preferred Stock Capital Cost Rate (Ln 95 / Ln 94)</v>
      </c>
      <c r="C167" s="902">
        <f t="shared" ref="C167:J167" si="50">IF(C139=0,0,C140/C139)</f>
        <v>0</v>
      </c>
      <c r="D167" s="902"/>
      <c r="E167" s="902">
        <f t="shared" si="50"/>
        <v>0</v>
      </c>
      <c r="F167" s="902">
        <f t="shared" si="50"/>
        <v>0</v>
      </c>
      <c r="G167" s="902">
        <f t="shared" si="50"/>
        <v>0</v>
      </c>
      <c r="H167" s="902">
        <f t="shared" si="50"/>
        <v>0</v>
      </c>
      <c r="I167" s="902">
        <f t="shared" si="50"/>
        <v>0</v>
      </c>
      <c r="J167" s="902">
        <f t="shared" si="50"/>
        <v>0</v>
      </c>
    </row>
    <row r="168" spans="1:10">
      <c r="A168" s="889">
        <f>A167+1</f>
        <v>114</v>
      </c>
      <c r="B168" s="469" t="s">
        <v>530</v>
      </c>
      <c r="C168" s="902">
        <v>0.1149</v>
      </c>
      <c r="D168" s="902"/>
      <c r="E168" s="902">
        <v>0.1149</v>
      </c>
      <c r="F168" s="902">
        <v>0.1149</v>
      </c>
      <c r="G168" s="902">
        <v>0.1149</v>
      </c>
      <c r="H168" s="902">
        <v>0.1149</v>
      </c>
      <c r="I168" s="902">
        <v>0.1149</v>
      </c>
      <c r="J168" s="902">
        <v>0.1149</v>
      </c>
    </row>
    <row r="170" spans="1:10" ht="15">
      <c r="A170" s="847" t="s">
        <v>531</v>
      </c>
    </row>
    <row r="171" spans="1:10">
      <c r="A171" s="889">
        <f>A168+1</f>
        <v>115</v>
      </c>
      <c r="B171" s="469" t="str">
        <f>"LTD Weighted Capital Cost Rate (Ln "&amp;A155&amp;" * Ln "&amp;A166&amp;")"</f>
        <v>LTD Weighted Capital Cost Rate (Ln 105 * Ln 112)</v>
      </c>
      <c r="C171" s="902" t="e">
        <f>C155*C166</f>
        <v>#DIV/0!</v>
      </c>
      <c r="D171" s="902"/>
      <c r="E171" s="902" t="e">
        <f t="shared" ref="E171:J171" si="51">E155*E166</f>
        <v>#DIV/0!</v>
      </c>
      <c r="F171" s="902" t="e">
        <f t="shared" si="51"/>
        <v>#DIV/0!</v>
      </c>
      <c r="G171" s="902" t="e">
        <f t="shared" si="51"/>
        <v>#DIV/0!</v>
      </c>
      <c r="H171" s="902" t="e">
        <f t="shared" si="51"/>
        <v>#DIV/0!</v>
      </c>
      <c r="I171" s="902" t="e">
        <f t="shared" si="51"/>
        <v>#DIV/0!</v>
      </c>
      <c r="J171" s="902" t="e">
        <f t="shared" si="51"/>
        <v>#DIV/0!</v>
      </c>
    </row>
    <row r="172" spans="1:10">
      <c r="A172" s="889">
        <f>A171+1</f>
        <v>116</v>
      </c>
      <c r="B172" s="469" t="str">
        <f>"Preferred Stock Capital Cost Rate (Ln "&amp;A156&amp;" * Ln "&amp;A167&amp;")"</f>
        <v>Preferred Stock Capital Cost Rate (Ln 106 * Ln 113)</v>
      </c>
      <c r="C172" s="902" t="e">
        <f>C156*C167</f>
        <v>#DIV/0!</v>
      </c>
      <c r="D172" s="902"/>
      <c r="E172" s="902" t="e">
        <f t="shared" ref="E172:J172" si="52">E156*E167</f>
        <v>#DIV/0!</v>
      </c>
      <c r="F172" s="902" t="e">
        <f t="shared" si="52"/>
        <v>#DIV/0!</v>
      </c>
      <c r="G172" s="902" t="e">
        <f t="shared" si="52"/>
        <v>#DIV/0!</v>
      </c>
      <c r="H172" s="902" t="e">
        <f t="shared" si="52"/>
        <v>#DIV/0!</v>
      </c>
      <c r="I172" s="902" t="e">
        <f t="shared" si="52"/>
        <v>#DIV/0!</v>
      </c>
      <c r="J172" s="902" t="e">
        <f t="shared" si="52"/>
        <v>#DIV/0!</v>
      </c>
    </row>
    <row r="173" spans="1:10">
      <c r="A173" s="889">
        <f>A172+1</f>
        <v>117</v>
      </c>
      <c r="B173" s="469" t="str">
        <f>"Common Equity Capital Cost Rate (Ln "&amp;A157&amp;" * Ln "&amp;A168&amp;")"</f>
        <v>Common Equity Capital Cost Rate (Ln 107 * Ln 114)</v>
      </c>
      <c r="C173" s="906" t="e">
        <f>C157*C168</f>
        <v>#DIV/0!</v>
      </c>
      <c r="D173" s="906"/>
      <c r="E173" s="906" t="e">
        <f t="shared" ref="E173:J173" si="53">E157*E168</f>
        <v>#DIV/0!</v>
      </c>
      <c r="F173" s="906" t="e">
        <f t="shared" si="53"/>
        <v>#DIV/0!</v>
      </c>
      <c r="G173" s="906" t="e">
        <f t="shared" si="53"/>
        <v>#DIV/0!</v>
      </c>
      <c r="H173" s="906" t="e">
        <f t="shared" si="53"/>
        <v>#DIV/0!</v>
      </c>
      <c r="I173" s="906" t="e">
        <f t="shared" si="53"/>
        <v>#DIV/0!</v>
      </c>
      <c r="J173" s="906" t="e">
        <f t="shared" si="53"/>
        <v>#DIV/0!</v>
      </c>
    </row>
    <row r="174" spans="1:10">
      <c r="A174" s="889">
        <f>A173+1</f>
        <v>118</v>
      </c>
      <c r="B174" s="907" t="s">
        <v>528</v>
      </c>
      <c r="C174" s="908" t="e">
        <f t="shared" ref="C174:J174" si="54">SUM(C171:C173)</f>
        <v>#DIV/0!</v>
      </c>
      <c r="D174" s="908"/>
      <c r="E174" s="908" t="e">
        <f t="shared" si="54"/>
        <v>#DIV/0!</v>
      </c>
      <c r="F174" s="908" t="e">
        <f t="shared" si="54"/>
        <v>#DIV/0!</v>
      </c>
      <c r="G174" s="908" t="e">
        <f t="shared" si="54"/>
        <v>#DIV/0!</v>
      </c>
      <c r="H174" s="908" t="e">
        <f t="shared" si="54"/>
        <v>#DIV/0!</v>
      </c>
      <c r="I174" s="908" t="e">
        <f t="shared" si="54"/>
        <v>#DIV/0!</v>
      </c>
      <c r="J174" s="908" t="e">
        <f t="shared" si="54"/>
        <v>#DIV/0!</v>
      </c>
    </row>
    <row r="177" spans="1:10">
      <c r="A177" s="1607" t="s">
        <v>507</v>
      </c>
      <c r="B177" s="1607"/>
      <c r="C177" s="1607"/>
      <c r="D177" s="1607"/>
      <c r="E177" s="1607"/>
      <c r="F177" s="1607"/>
      <c r="G177" s="1607"/>
      <c r="H177" s="1607"/>
      <c r="I177" s="1607"/>
      <c r="J177" s="1607"/>
    </row>
    <row r="178" spans="1:10">
      <c r="A178" s="1607" t="s">
        <v>532</v>
      </c>
      <c r="B178" s="1607"/>
      <c r="C178" s="1607"/>
      <c r="D178" s="1607"/>
      <c r="E178" s="1607"/>
      <c r="F178" s="1607"/>
      <c r="G178" s="1607"/>
      <c r="H178" s="1607"/>
      <c r="I178" s="1607"/>
      <c r="J178" s="1607"/>
    </row>
    <row r="179" spans="1:10">
      <c r="A179" s="1607" t="s">
        <v>250</v>
      </c>
      <c r="B179" s="1607"/>
      <c r="C179" s="1607"/>
      <c r="D179" s="1607"/>
      <c r="E179" s="1607"/>
      <c r="F179" s="1607"/>
      <c r="G179" s="1607"/>
      <c r="H179" s="1607"/>
      <c r="I179" s="1607"/>
      <c r="J179" s="1607"/>
    </row>
    <row r="181" spans="1:10" ht="76.5">
      <c r="A181" s="889" t="s">
        <v>461</v>
      </c>
      <c r="C181" s="890" t="s">
        <v>508</v>
      </c>
      <c r="D181" s="890"/>
      <c r="E181" s="890" t="s">
        <v>509</v>
      </c>
      <c r="F181" s="890" t="s">
        <v>510</v>
      </c>
      <c r="G181" s="890" t="s">
        <v>511</v>
      </c>
      <c r="H181" s="890" t="s">
        <v>512</v>
      </c>
      <c r="I181" s="890" t="s">
        <v>513</v>
      </c>
      <c r="J181" s="890" t="s">
        <v>514</v>
      </c>
    </row>
    <row r="182" spans="1:10" ht="15">
      <c r="A182" s="847" t="s">
        <v>533</v>
      </c>
    </row>
    <row r="183" spans="1:10">
      <c r="A183" s="889">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9">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9">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9">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9">
        <f>A186+1</f>
        <v>123</v>
      </c>
      <c r="B187" s="852" t="str">
        <f>"Less: Average Fair Value Hedges (See Note on Ln "&amp;A190&amp;" below)"</f>
        <v>Less: Average Fair Value Hedges (See Note on Ln 125 below)</v>
      </c>
      <c r="C187" s="909" t="e">
        <f t="shared" si="55"/>
        <v>#DIV/0!</v>
      </c>
      <c r="D187" s="909"/>
      <c r="E187" s="909" t="e">
        <f t="shared" si="55"/>
        <v>#DIV/0!</v>
      </c>
      <c r="F187" s="909" t="e">
        <f t="shared" si="55"/>
        <v>#DIV/0!</v>
      </c>
      <c r="G187" s="909" t="e">
        <f t="shared" si="55"/>
        <v>#DIV/0!</v>
      </c>
      <c r="H187" s="909" t="e">
        <f t="shared" si="55"/>
        <v>#DIV/0!</v>
      </c>
      <c r="I187" s="909" t="e">
        <f t="shared" si="55"/>
        <v>#DIV/0!</v>
      </c>
      <c r="J187" s="891" t="e">
        <f>SUM(C187:I187)</f>
        <v>#DIV/0!</v>
      </c>
    </row>
    <row r="188" spans="1:10">
      <c r="A188" s="889">
        <f>A187+1</f>
        <v>124</v>
      </c>
      <c r="B188" s="853" t="s">
        <v>534</v>
      </c>
      <c r="C188" s="892" t="e">
        <f t="shared" ref="C188:J188" si="56">C183-C184+C185+C186-C187</f>
        <v>#DIV/0!</v>
      </c>
      <c r="D188" s="892"/>
      <c r="E188" s="892" t="e">
        <f t="shared" si="56"/>
        <v>#DIV/0!</v>
      </c>
      <c r="F188" s="892" t="e">
        <f t="shared" si="56"/>
        <v>#DIV/0!</v>
      </c>
      <c r="G188" s="892" t="e">
        <f t="shared" si="56"/>
        <v>#DIV/0!</v>
      </c>
      <c r="H188" s="892" t="e">
        <f t="shared" si="56"/>
        <v>#DIV/0!</v>
      </c>
      <c r="I188" s="892" t="e">
        <f t="shared" si="56"/>
        <v>#DIV/0!</v>
      </c>
      <c r="J188" s="892" t="e">
        <f t="shared" si="56"/>
        <v>#DIV/0!</v>
      </c>
    </row>
    <row r="190" spans="1:10" s="903" customFormat="1">
      <c r="A190" s="903">
        <f>A188+1</f>
        <v>125</v>
      </c>
      <c r="B190" s="1606" t="s">
        <v>57</v>
      </c>
      <c r="C190" s="1606"/>
      <c r="D190" s="1606"/>
      <c r="E190" s="1606"/>
      <c r="F190" s="1606"/>
      <c r="G190" s="1606"/>
      <c r="H190" s="1606"/>
      <c r="I190" s="1606"/>
      <c r="J190" s="1606"/>
    </row>
    <row r="191" spans="1:10" s="903" customFormat="1">
      <c r="A191" s="910"/>
      <c r="B191" s="893"/>
      <c r="C191" s="893"/>
      <c r="D191" s="893"/>
      <c r="E191" s="893"/>
      <c r="F191" s="893"/>
      <c r="G191" s="893"/>
      <c r="H191" s="893"/>
      <c r="I191" s="893"/>
      <c r="J191" s="893"/>
    </row>
    <row r="192" spans="1:10" ht="15">
      <c r="A192" s="847" t="str">
        <f>"Development of "&amp;TCOS!O3&amp;" Long Term Debt Interest Expense"</f>
        <v>Development of   Long Term Debt Interest Expense</v>
      </c>
      <c r="B192" s="903"/>
      <c r="C192" s="903"/>
      <c r="D192" s="903"/>
      <c r="E192" s="903"/>
      <c r="F192" s="903"/>
      <c r="G192" s="903"/>
      <c r="H192" s="903"/>
      <c r="I192" s="903"/>
      <c r="J192" s="903"/>
    </row>
    <row r="193" spans="1:10">
      <c r="A193" s="903">
        <f>A190+1</f>
        <v>126</v>
      </c>
      <c r="B193" s="852"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3">
        <f t="shared" ref="A194:A199" si="59">A193+1</f>
        <v>127</v>
      </c>
      <c r="B194" s="852"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3">
        <f t="shared" si="59"/>
        <v>128</v>
      </c>
      <c r="B195" s="852"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3">
        <f t="shared" si="59"/>
        <v>129</v>
      </c>
      <c r="B196" s="852"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4">
        <f t="shared" si="58"/>
        <v>0</v>
      </c>
    </row>
    <row r="197" spans="1:10">
      <c r="A197" s="903">
        <f t="shared" si="59"/>
        <v>130</v>
      </c>
      <c r="B197" s="852"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4">
        <f t="shared" si="58"/>
        <v>0</v>
      </c>
    </row>
    <row r="198" spans="1:10">
      <c r="A198" s="903">
        <f t="shared" si="59"/>
        <v>131</v>
      </c>
      <c r="B198" s="911" t="str">
        <f t="shared" si="60"/>
        <v>Less: Hedge Interest on pp 256-257(i)</v>
      </c>
      <c r="C198" s="909">
        <f>C24</f>
        <v>0</v>
      </c>
      <c r="D198" s="909"/>
      <c r="E198" s="909">
        <f t="shared" si="63"/>
        <v>0</v>
      </c>
      <c r="F198" s="909">
        <f t="shared" si="63"/>
        <v>0</v>
      </c>
      <c r="G198" s="909">
        <f t="shared" si="63"/>
        <v>0</v>
      </c>
      <c r="H198" s="909">
        <f t="shared" si="63"/>
        <v>0</v>
      </c>
      <c r="I198" s="909">
        <f t="shared" si="63"/>
        <v>0</v>
      </c>
      <c r="J198" s="891">
        <f t="shared" si="58"/>
        <v>0</v>
      </c>
    </row>
    <row r="199" spans="1:10">
      <c r="A199" s="903">
        <f t="shared" si="59"/>
        <v>132</v>
      </c>
      <c r="B199" s="912" t="str">
        <f>""&amp;TCOS!O3&amp;" LTD Interest Expense"</f>
        <v xml:space="preserve">  LTD Interest Expense</v>
      </c>
      <c r="C199" s="913">
        <f t="shared" ref="C199:J199" si="64">C193+C194+C195-C196-C197-C198</f>
        <v>0</v>
      </c>
      <c r="D199" s="913"/>
      <c r="E199" s="913">
        <f t="shared" si="64"/>
        <v>0</v>
      </c>
      <c r="F199" s="913">
        <f t="shared" si="64"/>
        <v>0</v>
      </c>
      <c r="G199" s="913">
        <f t="shared" si="64"/>
        <v>0</v>
      </c>
      <c r="H199" s="913">
        <f t="shared" si="64"/>
        <v>0</v>
      </c>
      <c r="I199" s="913">
        <f t="shared" si="64"/>
        <v>0</v>
      </c>
      <c r="J199" s="913">
        <f t="shared" si="64"/>
        <v>0</v>
      </c>
    </row>
    <row r="200" spans="1:10">
      <c r="A200" s="903"/>
      <c r="B200" s="903"/>
      <c r="C200" s="903"/>
      <c r="D200" s="903"/>
      <c r="E200" s="903"/>
      <c r="F200" s="903"/>
      <c r="G200" s="903"/>
      <c r="H200" s="903"/>
      <c r="I200" s="903"/>
      <c r="J200" s="903"/>
    </row>
    <row r="201" spans="1:10" ht="15">
      <c r="A201" s="847" t="str">
        <f>""&amp;TCOS!O3&amp;" Cost of Preferred Stock and Preferred Dividends"</f>
        <v xml:space="preserve">  Cost of Preferred Stock and Preferred Dividends</v>
      </c>
      <c r="B201" s="914"/>
      <c r="C201" s="914"/>
      <c r="D201" s="914"/>
      <c r="E201" s="914"/>
      <c r="F201" s="903"/>
      <c r="G201" s="903"/>
      <c r="H201" s="903"/>
      <c r="I201" s="903"/>
      <c r="J201" s="903"/>
    </row>
    <row r="202" spans="1:10">
      <c r="A202" s="903">
        <f>A199+1</f>
        <v>133</v>
      </c>
      <c r="B202" s="469" t="str">
        <f>"Average Balance of Preferred Stock (Ln "&amp;A52&amp;" + Ln "&amp;A139&amp;") / 2"</f>
        <v>Average Balance of Preferred Stock (Ln 35 + Ln 94) / 2</v>
      </c>
      <c r="C202" s="913">
        <f>AVERAGE(C52,C139)</f>
        <v>0</v>
      </c>
      <c r="D202" s="913"/>
      <c r="E202" s="913">
        <f t="shared" ref="E202:J202" si="65">AVERAGE(E52,E139)</f>
        <v>0</v>
      </c>
      <c r="F202" s="913">
        <f t="shared" si="65"/>
        <v>0</v>
      </c>
      <c r="G202" s="913">
        <f t="shared" si="65"/>
        <v>0</v>
      </c>
      <c r="H202" s="913">
        <f t="shared" si="65"/>
        <v>0</v>
      </c>
      <c r="I202" s="913">
        <f t="shared" si="65"/>
        <v>0</v>
      </c>
      <c r="J202" s="913">
        <f t="shared" si="65"/>
        <v>0</v>
      </c>
    </row>
    <row r="203" spans="1:10">
      <c r="A203" s="903">
        <f>A202+1</f>
        <v>134</v>
      </c>
      <c r="B203" s="469" t="str">
        <f>""&amp;TCOS!O3&amp;" Preferred Dividends (Ln "&amp;A53&amp;")"</f>
        <v xml:space="preserve">  Preferred Dividends (Ln 36)</v>
      </c>
      <c r="C203" s="913">
        <f>C53</f>
        <v>0</v>
      </c>
      <c r="D203" s="913"/>
      <c r="E203" s="913">
        <f t="shared" ref="E203:J203" si="66">E53</f>
        <v>0</v>
      </c>
      <c r="F203" s="913">
        <f t="shared" si="66"/>
        <v>0</v>
      </c>
      <c r="G203" s="913">
        <f t="shared" si="66"/>
        <v>0</v>
      </c>
      <c r="H203" s="913">
        <f t="shared" si="66"/>
        <v>0</v>
      </c>
      <c r="I203" s="913">
        <f t="shared" si="66"/>
        <v>0</v>
      </c>
      <c r="J203" s="913">
        <f t="shared" si="66"/>
        <v>0</v>
      </c>
    </row>
    <row r="204" spans="1:10">
      <c r="B204" s="910"/>
    </row>
    <row r="205" spans="1:10" ht="15">
      <c r="A205" s="847" t="s">
        <v>535</v>
      </c>
    </row>
    <row r="206" spans="1:10">
      <c r="A206" s="889">
        <f>A203+1</f>
        <v>135</v>
      </c>
      <c r="B206" s="666"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6" t="e">
        <f>SUM(C206:I206)</f>
        <v>#DIV/0!</v>
      </c>
    </row>
    <row r="207" spans="1:10">
      <c r="A207" s="889">
        <f>A206+1</f>
        <v>136</v>
      </c>
      <c r="B207" s="666"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6">
        <f>SUM(C207:I207)</f>
        <v>0</v>
      </c>
    </row>
    <row r="208" spans="1:10">
      <c r="A208" s="889">
        <f>A207+1</f>
        <v>137</v>
      </c>
      <c r="B208" s="666"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6" t="e">
        <f>SUM(C208:I208)</f>
        <v>#DIV/0!</v>
      </c>
    </row>
    <row r="209" spans="1:12">
      <c r="A209" s="889">
        <f>A208+1</f>
        <v>138</v>
      </c>
      <c r="B209" s="666" t="str">
        <f>"Less: Average Account 219.1 (Ln "&amp;A59&amp;" + Ln "&amp;A146&amp;") / 2"</f>
        <v>Less: Average Account 219.1 (Ln 40 + Ln 99) / 2</v>
      </c>
      <c r="C209" s="909" t="e">
        <f t="shared" si="69"/>
        <v>#DIV/0!</v>
      </c>
      <c r="D209" s="909"/>
      <c r="E209" s="909" t="e">
        <f t="shared" si="69"/>
        <v>#DIV/0!</v>
      </c>
      <c r="F209" s="909" t="e">
        <f t="shared" si="69"/>
        <v>#DIV/0!</v>
      </c>
      <c r="G209" s="909" t="e">
        <f t="shared" si="69"/>
        <v>#DIV/0!</v>
      </c>
      <c r="H209" s="909" t="e">
        <f t="shared" si="69"/>
        <v>#DIV/0!</v>
      </c>
      <c r="I209" s="909" t="e">
        <f t="shared" si="69"/>
        <v>#DIV/0!</v>
      </c>
      <c r="J209" s="901" t="e">
        <f>SUM(C209:I209)</f>
        <v>#DIV/0!</v>
      </c>
    </row>
    <row r="210" spans="1:12">
      <c r="A210" s="889">
        <f>A209+1</f>
        <v>139</v>
      </c>
      <c r="B210" s="849" t="s">
        <v>331</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527</v>
      </c>
    </row>
    <row r="213" spans="1:12">
      <c r="A213" s="889">
        <f>A210+1</f>
        <v>140</v>
      </c>
      <c r="B213" s="469" t="str">
        <f>"Average Balance of Long Term Debt (Ln "&amp;A188&amp;" Above)"</f>
        <v>Average Balance of Long Term Debt (Ln 124 Above)</v>
      </c>
      <c r="C213" s="896" t="e">
        <f t="shared" ref="C213:J213" si="71">C188</f>
        <v>#DIV/0!</v>
      </c>
      <c r="D213" s="896"/>
      <c r="E213" s="896" t="e">
        <f t="shared" si="71"/>
        <v>#DIV/0!</v>
      </c>
      <c r="F213" s="896" t="e">
        <f t="shared" si="71"/>
        <v>#DIV/0!</v>
      </c>
      <c r="G213" s="896" t="e">
        <f t="shared" si="71"/>
        <v>#DIV/0!</v>
      </c>
      <c r="H213" s="896" t="e">
        <f t="shared" si="71"/>
        <v>#DIV/0!</v>
      </c>
      <c r="I213" s="896" t="e">
        <f t="shared" si="71"/>
        <v>#DIV/0!</v>
      </c>
      <c r="J213" s="896" t="e">
        <f t="shared" si="71"/>
        <v>#DIV/0!</v>
      </c>
    </row>
    <row r="214" spans="1:12">
      <c r="A214" s="889">
        <f>A213+1</f>
        <v>141</v>
      </c>
      <c r="B214" s="469" t="str">
        <f>"Average Balance of Preferred Stock (Ln "&amp;A202&amp;" Above)"</f>
        <v>Average Balance of Preferred Stock (Ln 133 Above)</v>
      </c>
      <c r="C214" s="896">
        <f t="shared" ref="C214:J214" si="72">C202</f>
        <v>0</v>
      </c>
      <c r="D214" s="896"/>
      <c r="E214" s="896">
        <f t="shared" si="72"/>
        <v>0</v>
      </c>
      <c r="F214" s="896">
        <f t="shared" si="72"/>
        <v>0</v>
      </c>
      <c r="G214" s="896">
        <f t="shared" si="72"/>
        <v>0</v>
      </c>
      <c r="H214" s="896">
        <f t="shared" si="72"/>
        <v>0</v>
      </c>
      <c r="I214" s="896">
        <f t="shared" si="72"/>
        <v>0</v>
      </c>
      <c r="J214" s="896">
        <f t="shared" si="72"/>
        <v>0</v>
      </c>
    </row>
    <row r="215" spans="1:12">
      <c r="A215" s="889">
        <f>A214+1</f>
        <v>142</v>
      </c>
      <c r="B215" s="469" t="str">
        <f>"Average Balance of Common Equity (Ln "&amp;A210&amp;" Above)"</f>
        <v>Average Balance of Common Equity (Ln 139 Above)</v>
      </c>
      <c r="C215" s="901" t="e">
        <f t="shared" ref="C215:J215" si="73">C210</f>
        <v>#DIV/0!</v>
      </c>
      <c r="D215" s="901"/>
      <c r="E215" s="901" t="e">
        <f t="shared" si="73"/>
        <v>#DIV/0!</v>
      </c>
      <c r="F215" s="901" t="e">
        <f t="shared" si="73"/>
        <v>#DIV/0!</v>
      </c>
      <c r="G215" s="901" t="e">
        <f t="shared" si="73"/>
        <v>#DIV/0!</v>
      </c>
      <c r="H215" s="901" t="e">
        <f t="shared" si="73"/>
        <v>#DIV/0!</v>
      </c>
      <c r="I215" s="901" t="e">
        <f t="shared" si="73"/>
        <v>#DIV/0!</v>
      </c>
      <c r="J215" s="901" t="e">
        <f t="shared" si="73"/>
        <v>#DIV/0!</v>
      </c>
    </row>
    <row r="216" spans="1:12">
      <c r="A216" s="889">
        <f>A215+1</f>
        <v>143</v>
      </c>
      <c r="B216" s="889" t="s">
        <v>536</v>
      </c>
      <c r="C216" s="896" t="e">
        <f t="shared" ref="C216:J216" si="74">SUM(C213:C215)</f>
        <v>#DIV/0!</v>
      </c>
      <c r="D216" s="896"/>
      <c r="E216" s="896" t="e">
        <f t="shared" si="74"/>
        <v>#DIV/0!</v>
      </c>
      <c r="F216" s="896" t="e">
        <f t="shared" si="74"/>
        <v>#DIV/0!</v>
      </c>
      <c r="G216" s="896" t="e">
        <f t="shared" si="74"/>
        <v>#DIV/0!</v>
      </c>
      <c r="H216" s="896" t="e">
        <f t="shared" si="74"/>
        <v>#DIV/0!</v>
      </c>
      <c r="I216" s="896" t="e">
        <f t="shared" si="74"/>
        <v>#DIV/0!</v>
      </c>
      <c r="J216" s="896" t="e">
        <f t="shared" si="74"/>
        <v>#DIV/0!</v>
      </c>
      <c r="L216" s="915"/>
    </row>
    <row r="218" spans="1:12">
      <c r="A218" s="889">
        <f>A216+1</f>
        <v>144</v>
      </c>
      <c r="B218" s="469" t="str">
        <f>"Average Balance of LTD Capital Shares (Ln "&amp;A213&amp;" / Ln "&amp;A216&amp;")"</f>
        <v>Average Balance of LTD Capital Shares (Ln 140 / Ln 143)</v>
      </c>
      <c r="C218" s="902" t="e">
        <f t="shared" ref="C218:I218" si="75">C213/C216</f>
        <v>#DIV/0!</v>
      </c>
      <c r="D218" s="902"/>
      <c r="E218" s="902" t="e">
        <f t="shared" si="75"/>
        <v>#DIV/0!</v>
      </c>
      <c r="F218" s="902" t="e">
        <f t="shared" si="75"/>
        <v>#DIV/0!</v>
      </c>
      <c r="G218" s="902" t="e">
        <f t="shared" si="75"/>
        <v>#DIV/0!</v>
      </c>
      <c r="H218" s="902" t="e">
        <f t="shared" si="75"/>
        <v>#DIV/0!</v>
      </c>
      <c r="I218" s="902" t="e">
        <f t="shared" si="75"/>
        <v>#DIV/0!</v>
      </c>
      <c r="J218" s="902" t="e">
        <f>J213/J216</f>
        <v>#DIV/0!</v>
      </c>
    </row>
    <row r="219" spans="1:12">
      <c r="A219" s="889">
        <f>A218+1</f>
        <v>145</v>
      </c>
      <c r="B219" s="469" t="str">
        <f>"Average Balance of Preferred Stock Capital Shares (Ln "&amp;A214&amp;" / Ln "&amp;A216&amp;")"</f>
        <v>Average Balance of Preferred Stock Capital Shares (Ln 141 / Ln 143)</v>
      </c>
      <c r="C219" s="902" t="e">
        <f t="shared" ref="C219:I219" si="76">C214/C216</f>
        <v>#DIV/0!</v>
      </c>
      <c r="D219" s="902"/>
      <c r="E219" s="902" t="e">
        <f t="shared" si="76"/>
        <v>#DIV/0!</v>
      </c>
      <c r="F219" s="902" t="e">
        <f t="shared" si="76"/>
        <v>#DIV/0!</v>
      </c>
      <c r="G219" s="902" t="e">
        <f t="shared" si="76"/>
        <v>#DIV/0!</v>
      </c>
      <c r="H219" s="902" t="e">
        <f t="shared" si="76"/>
        <v>#DIV/0!</v>
      </c>
      <c r="I219" s="902" t="e">
        <f t="shared" si="76"/>
        <v>#DIV/0!</v>
      </c>
      <c r="J219" s="902" t="e">
        <f>J214/J216</f>
        <v>#DIV/0!</v>
      </c>
    </row>
    <row r="220" spans="1:12">
      <c r="A220" s="903">
        <f>A219+1</f>
        <v>146</v>
      </c>
      <c r="B220" s="469" t="str">
        <f>"Average Balance of Common Equity Capital Shares (Ln "&amp;A215&amp;" / Ln "&amp;A216&amp;")"</f>
        <v>Average Balance of Common Equity Capital Shares (Ln 142 / Ln 143)</v>
      </c>
      <c r="C220" s="904" t="e">
        <f t="shared" ref="C220:I220" si="77">C215/C216</f>
        <v>#DIV/0!</v>
      </c>
      <c r="D220" s="904"/>
      <c r="E220" s="904" t="e">
        <f t="shared" si="77"/>
        <v>#DIV/0!</v>
      </c>
      <c r="F220" s="904" t="e">
        <f t="shared" si="77"/>
        <v>#DIV/0!</v>
      </c>
      <c r="G220" s="904" t="e">
        <f t="shared" si="77"/>
        <v>#DIV/0!</v>
      </c>
      <c r="H220" s="904" t="e">
        <f t="shared" si="77"/>
        <v>#DIV/0!</v>
      </c>
      <c r="I220" s="904" t="e">
        <f t="shared" si="77"/>
        <v>#DIV/0!</v>
      </c>
      <c r="J220" s="904" t="e">
        <f>J215/J216</f>
        <v>#DIV/0!</v>
      </c>
    </row>
    <row r="221" spans="1:12">
      <c r="A221" s="903"/>
      <c r="B221" s="469"/>
      <c r="C221" s="904"/>
      <c r="D221" s="904"/>
      <c r="E221" s="904"/>
      <c r="F221" s="904"/>
      <c r="G221" s="904"/>
      <c r="H221" s="904"/>
      <c r="I221" s="904"/>
      <c r="J221" s="904"/>
    </row>
    <row r="222" spans="1:12">
      <c r="A222" s="903">
        <f>A220+1</f>
        <v>147</v>
      </c>
      <c r="B222" s="848" t="s">
        <v>558</v>
      </c>
      <c r="C222" s="904"/>
      <c r="D222" s="904"/>
      <c r="E222" s="904"/>
      <c r="F222" s="904"/>
      <c r="G222" s="904"/>
      <c r="H222" s="904"/>
      <c r="I222" s="904"/>
      <c r="J222" s="904"/>
    </row>
    <row r="223" spans="1:12">
      <c r="A223" s="903"/>
      <c r="B223" s="469"/>
      <c r="C223" s="904"/>
      <c r="D223" s="904"/>
      <c r="E223" s="904"/>
      <c r="F223" s="904"/>
      <c r="G223" s="904"/>
      <c r="H223" s="904"/>
      <c r="I223" s="904"/>
      <c r="J223" s="904"/>
    </row>
    <row r="224" spans="1:12">
      <c r="A224" s="903">
        <f>A222+1</f>
        <v>148</v>
      </c>
      <c r="B224" s="848" t="s">
        <v>558</v>
      </c>
      <c r="C224" s="904"/>
      <c r="D224" s="904"/>
      <c r="E224" s="904"/>
      <c r="F224" s="904"/>
      <c r="G224" s="904"/>
      <c r="H224" s="904"/>
      <c r="I224" s="904"/>
      <c r="J224" s="904"/>
    </row>
    <row r="225" spans="1:10">
      <c r="A225" s="903">
        <f>A224+1</f>
        <v>149</v>
      </c>
      <c r="B225" s="848" t="s">
        <v>558</v>
      </c>
      <c r="C225" s="904"/>
      <c r="D225" s="904"/>
      <c r="E225" s="904"/>
      <c r="F225" s="904"/>
      <c r="G225" s="904"/>
      <c r="H225" s="904"/>
      <c r="I225" s="904"/>
      <c r="J225" s="904"/>
    </row>
    <row r="226" spans="1:10">
      <c r="A226" s="903">
        <f>A225+1</f>
        <v>150</v>
      </c>
      <c r="B226" s="848" t="s">
        <v>558</v>
      </c>
      <c r="C226" s="904"/>
      <c r="D226" s="904"/>
      <c r="E226" s="904"/>
      <c r="F226" s="904"/>
      <c r="G226" s="904"/>
      <c r="H226" s="904"/>
      <c r="I226" s="904"/>
      <c r="J226" s="904"/>
    </row>
    <row r="227" spans="1:10">
      <c r="A227" s="903"/>
      <c r="B227" s="469"/>
      <c r="C227" s="904"/>
      <c r="D227" s="904"/>
      <c r="E227" s="904"/>
      <c r="F227" s="904"/>
      <c r="G227" s="904"/>
      <c r="H227" s="904"/>
      <c r="I227" s="904"/>
      <c r="J227" s="904"/>
    </row>
    <row r="228" spans="1:10" ht="15">
      <c r="A228" s="847" t="s">
        <v>529</v>
      </c>
      <c r="B228" s="903"/>
      <c r="C228" s="903"/>
      <c r="D228" s="903"/>
      <c r="E228" s="903"/>
      <c r="F228" s="903"/>
      <c r="G228" s="903"/>
      <c r="H228" s="903"/>
      <c r="I228" s="903"/>
      <c r="J228" s="903"/>
    </row>
    <row r="229" spans="1:10">
      <c r="A229" s="903">
        <f>A226+1</f>
        <v>151</v>
      </c>
      <c r="B229" s="469" t="str">
        <f>"LTD Capital Cost Rate (Ln "&amp;A199&amp;" / Ln "&amp;A188&amp;")"</f>
        <v>LTD Capital Cost Rate (Ln 132 / Ln 124)</v>
      </c>
      <c r="C229" s="904" t="e">
        <f t="shared" ref="C229:J229" si="78">C199/C188</f>
        <v>#DIV/0!</v>
      </c>
      <c r="D229" s="904"/>
      <c r="E229" s="904" t="e">
        <f t="shared" si="78"/>
        <v>#DIV/0!</v>
      </c>
      <c r="F229" s="904" t="e">
        <f t="shared" si="78"/>
        <v>#DIV/0!</v>
      </c>
      <c r="G229" s="904" t="e">
        <f t="shared" si="78"/>
        <v>#DIV/0!</v>
      </c>
      <c r="H229" s="904" t="e">
        <f t="shared" si="78"/>
        <v>#DIV/0!</v>
      </c>
      <c r="I229" s="904" t="e">
        <f t="shared" si="78"/>
        <v>#DIV/0!</v>
      </c>
      <c r="J229" s="904" t="e">
        <f t="shared" si="78"/>
        <v>#DIV/0!</v>
      </c>
    </row>
    <row r="230" spans="1:10">
      <c r="A230" s="903">
        <f>A229+1</f>
        <v>152</v>
      </c>
      <c r="B230" s="469" t="str">
        <f>"Preferred Stock Capital Cost Rate (Ln "&amp;A203&amp;" / Ln "&amp;A202&amp;")"</f>
        <v>Preferred Stock Capital Cost Rate (Ln 134 / Ln 133)</v>
      </c>
      <c r="C230" s="904">
        <f t="shared" ref="C230:J230" si="79">IF(C202=0,0,C203/C202)</f>
        <v>0</v>
      </c>
      <c r="D230" s="904"/>
      <c r="E230" s="904">
        <f t="shared" si="79"/>
        <v>0</v>
      </c>
      <c r="F230" s="904">
        <f t="shared" si="79"/>
        <v>0</v>
      </c>
      <c r="G230" s="904">
        <f t="shared" si="79"/>
        <v>0</v>
      </c>
      <c r="H230" s="904">
        <f t="shared" si="79"/>
        <v>0</v>
      </c>
      <c r="I230" s="904">
        <f t="shared" si="79"/>
        <v>0</v>
      </c>
      <c r="J230" s="904">
        <f t="shared" si="79"/>
        <v>0</v>
      </c>
    </row>
    <row r="231" spans="1:10">
      <c r="A231" s="903">
        <f>A230+1</f>
        <v>153</v>
      </c>
      <c r="B231" s="469" t="s">
        <v>530</v>
      </c>
      <c r="C231" s="904">
        <v>0.1149</v>
      </c>
      <c r="D231" s="904"/>
      <c r="E231" s="904">
        <v>0.1149</v>
      </c>
      <c r="F231" s="904">
        <v>0.1149</v>
      </c>
      <c r="G231" s="904">
        <v>0.1149</v>
      </c>
      <c r="H231" s="904">
        <v>0.1149</v>
      </c>
      <c r="I231" s="904">
        <v>0.1149</v>
      </c>
      <c r="J231" s="904">
        <v>0.1149</v>
      </c>
    </row>
    <row r="232" spans="1:10">
      <c r="A232" s="903"/>
      <c r="B232" s="903"/>
      <c r="C232" s="903"/>
      <c r="D232" s="903"/>
      <c r="E232" s="903"/>
      <c r="F232" s="903"/>
      <c r="G232" s="903"/>
      <c r="H232" s="903"/>
      <c r="I232" s="903"/>
      <c r="J232" s="903"/>
    </row>
    <row r="233" spans="1:10" ht="15">
      <c r="A233" s="847" t="s">
        <v>531</v>
      </c>
      <c r="B233" s="903"/>
      <c r="C233" s="903"/>
      <c r="D233" s="903"/>
      <c r="E233" s="903"/>
      <c r="F233" s="903"/>
      <c r="G233" s="903"/>
      <c r="H233" s="903"/>
      <c r="I233" s="903"/>
      <c r="J233" s="903"/>
    </row>
    <row r="234" spans="1:10">
      <c r="A234" s="903">
        <f>A231+1</f>
        <v>154</v>
      </c>
      <c r="B234" s="469" t="str">
        <f>"LTD Weighted Capital Cost Rate (Ln "&amp;A218&amp;" * Ln "&amp;A229&amp;")"</f>
        <v>LTD Weighted Capital Cost Rate (Ln 144 * Ln 151)</v>
      </c>
      <c r="C234" s="904" t="e">
        <f>C218*C229</f>
        <v>#DIV/0!</v>
      </c>
      <c r="D234" s="904"/>
      <c r="E234" s="904" t="e">
        <f t="shared" ref="E234:J234" si="80">E218*E229</f>
        <v>#DIV/0!</v>
      </c>
      <c r="F234" s="904" t="e">
        <f t="shared" si="80"/>
        <v>#DIV/0!</v>
      </c>
      <c r="G234" s="904" t="e">
        <f t="shared" si="80"/>
        <v>#DIV/0!</v>
      </c>
      <c r="H234" s="904" t="e">
        <f t="shared" si="80"/>
        <v>#DIV/0!</v>
      </c>
      <c r="I234" s="904" t="e">
        <f t="shared" si="80"/>
        <v>#DIV/0!</v>
      </c>
      <c r="J234" s="904" t="e">
        <f t="shared" si="80"/>
        <v>#DIV/0!</v>
      </c>
    </row>
    <row r="235" spans="1:10">
      <c r="A235" s="903">
        <f>A234+1</f>
        <v>155</v>
      </c>
      <c r="B235" s="469" t="str">
        <f>"Preferred Stock Capital Cost Rate (Ln "&amp;A219&amp;" * Ln "&amp;A230&amp;")"</f>
        <v>Preferred Stock Capital Cost Rate (Ln 145 * Ln 152)</v>
      </c>
      <c r="C235" s="904" t="e">
        <f>C219*C230</f>
        <v>#DIV/0!</v>
      </c>
      <c r="D235" s="904"/>
      <c r="E235" s="904" t="e">
        <f t="shared" ref="E235:J235" si="81">E219*E230</f>
        <v>#DIV/0!</v>
      </c>
      <c r="F235" s="904" t="e">
        <f t="shared" si="81"/>
        <v>#DIV/0!</v>
      </c>
      <c r="G235" s="904" t="e">
        <f t="shared" si="81"/>
        <v>#DIV/0!</v>
      </c>
      <c r="H235" s="904" t="e">
        <f t="shared" si="81"/>
        <v>#DIV/0!</v>
      </c>
      <c r="I235" s="904" t="e">
        <f t="shared" si="81"/>
        <v>#DIV/0!</v>
      </c>
      <c r="J235" s="904" t="e">
        <f t="shared" si="81"/>
        <v>#DIV/0!</v>
      </c>
    </row>
    <row r="236" spans="1:10">
      <c r="A236" s="903">
        <f>A235+1</f>
        <v>156</v>
      </c>
      <c r="B236" s="469" t="str">
        <f>"Common Equity Capital Cost Rate (Ln "&amp;A220&amp;" * Ln "&amp;A231&amp;")"</f>
        <v>Common Equity Capital Cost Rate (Ln 146 * Ln 153)</v>
      </c>
      <c r="C236" s="916" t="e">
        <f>C220*C231</f>
        <v>#DIV/0!</v>
      </c>
      <c r="D236" s="916"/>
      <c r="E236" s="916" t="e">
        <f t="shared" ref="E236:J236" si="82">E220*E231</f>
        <v>#DIV/0!</v>
      </c>
      <c r="F236" s="916" t="e">
        <f t="shared" si="82"/>
        <v>#DIV/0!</v>
      </c>
      <c r="G236" s="916" t="e">
        <f t="shared" si="82"/>
        <v>#DIV/0!</v>
      </c>
      <c r="H236" s="916" t="e">
        <f t="shared" si="82"/>
        <v>#DIV/0!</v>
      </c>
      <c r="I236" s="916" t="e">
        <f t="shared" si="82"/>
        <v>#DIV/0!</v>
      </c>
      <c r="J236" s="916" t="e">
        <f t="shared" si="82"/>
        <v>#DIV/0!</v>
      </c>
    </row>
    <row r="237" spans="1:10">
      <c r="A237" s="903">
        <f>A236+1</f>
        <v>157</v>
      </c>
      <c r="B237" s="912" t="s">
        <v>61</v>
      </c>
      <c r="C237" s="917" t="e">
        <f t="shared" ref="C237:J237" si="83">SUM(C234:C236)</f>
        <v>#DIV/0!</v>
      </c>
      <c r="D237" s="917"/>
      <c r="E237" s="917" t="e">
        <f t="shared" si="83"/>
        <v>#DIV/0!</v>
      </c>
      <c r="F237" s="917" t="e">
        <f t="shared" si="83"/>
        <v>#DIV/0!</v>
      </c>
      <c r="G237" s="917" t="e">
        <f t="shared" si="83"/>
        <v>#DIV/0!</v>
      </c>
      <c r="H237" s="917" t="e">
        <f t="shared" si="83"/>
        <v>#DIV/0!</v>
      </c>
      <c r="I237" s="917" t="e">
        <f t="shared" si="83"/>
        <v>#DIV/0!</v>
      </c>
      <c r="J237" s="917" t="e">
        <f t="shared" si="83"/>
        <v>#DIV/0!</v>
      </c>
    </row>
    <row r="238" spans="1:10">
      <c r="A238" s="903"/>
      <c r="B238" s="910"/>
      <c r="C238" s="903"/>
      <c r="D238" s="903"/>
      <c r="E238" s="903"/>
      <c r="F238" s="903"/>
      <c r="G238" s="903"/>
      <c r="H238" s="903"/>
      <c r="I238" s="903"/>
      <c r="J238" s="903"/>
    </row>
    <row r="239" spans="1:10">
      <c r="A239" s="903"/>
      <c r="B239" s="903"/>
      <c r="C239" s="903"/>
      <c r="D239" s="903"/>
      <c r="E239" s="903"/>
      <c r="F239" s="903"/>
      <c r="G239" s="903"/>
      <c r="H239" s="903"/>
      <c r="I239" s="903"/>
      <c r="J239" s="903"/>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B1:L57"/>
  <sheetViews>
    <sheetView view="pageBreakPreview" zoomScale="60" zoomScaleNormal="100" workbookViewId="0">
      <selection activeCell="B17" sqref="B17:C50"/>
    </sheetView>
  </sheetViews>
  <sheetFormatPr defaultColWidth="8.85546875" defaultRowHeight="12.75"/>
  <cols>
    <col min="1" max="1" width="8.85546875" style="173"/>
    <col min="2" max="2" width="23"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609" t="s">
        <v>610</v>
      </c>
      <c r="C1" s="1609"/>
      <c r="D1" s="1609"/>
      <c r="E1" s="1609"/>
      <c r="F1" s="1609"/>
      <c r="G1" s="1609"/>
      <c r="H1" s="1609"/>
      <c r="I1" s="1609"/>
      <c r="J1" s="1609"/>
      <c r="K1" s="1609"/>
      <c r="L1" s="1609"/>
    </row>
    <row r="2" spans="2:12" ht="15.75">
      <c r="B2" s="1608" t="s">
        <v>557</v>
      </c>
      <c r="C2" s="1608"/>
      <c r="D2" s="1608"/>
      <c r="E2" s="1608"/>
      <c r="F2" s="1608"/>
      <c r="G2" s="1608"/>
      <c r="H2" s="1608"/>
      <c r="I2" s="1608"/>
      <c r="J2" s="1608"/>
      <c r="K2" s="1608"/>
      <c r="L2" s="1608"/>
    </row>
    <row r="3" spans="2:12" ht="15.75">
      <c r="B3" s="1608" t="s">
        <v>587</v>
      </c>
      <c r="C3" s="1608"/>
      <c r="D3" s="1608"/>
      <c r="E3" s="1608"/>
      <c r="F3" s="1608"/>
      <c r="G3" s="1608"/>
      <c r="H3" s="1608"/>
      <c r="I3" s="1608"/>
      <c r="J3" s="1608"/>
      <c r="K3" s="1608"/>
      <c r="L3" s="1608"/>
    </row>
    <row r="4" spans="2:12" ht="15.75">
      <c r="B4" s="394"/>
      <c r="C4" s="394"/>
      <c r="D4" s="394"/>
      <c r="E4" s="1608"/>
      <c r="F4" s="1608"/>
      <c r="G4" s="1608"/>
      <c r="H4" s="1608"/>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3"/>
      <c r="C7" s="924"/>
      <c r="D7" s="924"/>
      <c r="E7" s="924"/>
      <c r="F7" s="924"/>
      <c r="G7" s="924"/>
      <c r="H7" s="924"/>
      <c r="I7" s="924"/>
      <c r="J7" s="924"/>
      <c r="K7" s="924"/>
      <c r="L7" s="924"/>
    </row>
    <row r="8" spans="2:12" ht="63">
      <c r="B8" s="925" t="str">
        <f>"Reconciliation Revenue Requirement For Year 2018 Available May 25, 2019"</f>
        <v>Reconciliation Revenue Requirement For Year 2018 Available May 25, 2019</v>
      </c>
      <c r="C8" s="924"/>
      <c r="D8" s="924"/>
      <c r="E8" s="925" t="s">
        <v>951</v>
      </c>
      <c r="F8" s="924"/>
      <c r="G8" s="924"/>
      <c r="H8" s="394"/>
      <c r="I8" s="925" t="s">
        <v>559</v>
      </c>
      <c r="J8" s="394"/>
      <c r="K8" s="394"/>
      <c r="L8" s="394"/>
    </row>
    <row r="9" spans="2:12" ht="15.75">
      <c r="B9" s="926" t="s">
        <v>408</v>
      </c>
      <c r="C9" s="924"/>
      <c r="D9" s="924"/>
      <c r="E9" s="926"/>
      <c r="F9" s="924"/>
      <c r="G9" s="924"/>
      <c r="H9" s="394"/>
      <c r="I9" s="927"/>
      <c r="J9" s="394"/>
      <c r="K9" s="394"/>
      <c r="L9" s="394"/>
    </row>
    <row r="10" spans="2:12" ht="16.5" thickBot="1">
      <c r="B10" s="922">
        <v>0</v>
      </c>
      <c r="C10" s="928" t="str">
        <f>"-"</f>
        <v>-</v>
      </c>
      <c r="D10" s="929"/>
      <c r="E10" s="922">
        <v>0</v>
      </c>
      <c r="F10" s="930"/>
      <c r="G10" s="931" t="str">
        <f>"="</f>
        <v>=</v>
      </c>
      <c r="H10" s="932"/>
      <c r="I10" s="933">
        <f>IF(B10=0,0,E10-B10)</f>
        <v>0</v>
      </c>
      <c r="J10" s="394"/>
      <c r="K10" s="394"/>
      <c r="L10" s="394"/>
    </row>
    <row r="11" spans="2:12" ht="15.75">
      <c r="B11" s="934"/>
      <c r="C11" s="935"/>
      <c r="D11" s="935"/>
      <c r="E11" s="934"/>
      <c r="F11" s="934"/>
      <c r="G11" s="935"/>
      <c r="H11" s="934"/>
      <c r="I11" s="394"/>
      <c r="J11" s="394"/>
      <c r="K11" s="394"/>
      <c r="L11" s="394"/>
    </row>
    <row r="12" spans="2:12" ht="16.5" thickBot="1">
      <c r="B12" s="936"/>
      <c r="C12" s="937"/>
      <c r="D12" s="937"/>
      <c r="E12" s="936"/>
      <c r="F12" s="936"/>
      <c r="G12" s="937"/>
      <c r="H12" s="936"/>
      <c r="I12" s="938"/>
      <c r="J12" s="938"/>
      <c r="K12" s="938"/>
      <c r="L12" s="938"/>
    </row>
    <row r="13" spans="2:12" ht="15.75">
      <c r="B13" s="939"/>
      <c r="C13" s="935"/>
      <c r="D13" s="935"/>
      <c r="E13" s="934"/>
      <c r="F13" s="934"/>
      <c r="G13" s="935"/>
      <c r="H13" s="934"/>
      <c r="I13" s="394"/>
      <c r="J13" s="394"/>
      <c r="K13" s="394"/>
      <c r="L13" s="394"/>
    </row>
    <row r="14" spans="2:12" ht="47.25">
      <c r="B14" s="940" t="s">
        <v>623</v>
      </c>
      <c r="C14" s="935"/>
      <c r="D14" s="935"/>
      <c r="E14" s="941" t="s">
        <v>560</v>
      </c>
      <c r="F14" s="934"/>
      <c r="G14" s="941" t="s">
        <v>561</v>
      </c>
      <c r="H14" s="942" t="s">
        <v>562</v>
      </c>
      <c r="I14" s="943" t="s">
        <v>563</v>
      </c>
      <c r="J14" s="941" t="s">
        <v>564</v>
      </c>
      <c r="K14" s="944"/>
      <c r="L14" s="941" t="s">
        <v>565</v>
      </c>
    </row>
    <row r="15" spans="2:12" ht="15.75">
      <c r="B15" s="940" t="s">
        <v>624</v>
      </c>
      <c r="C15" s="935"/>
      <c r="D15" s="935"/>
      <c r="E15" s="394"/>
      <c r="F15" s="945"/>
      <c r="G15" s="958">
        <v>4.0949999999999997E-3</v>
      </c>
      <c r="I15" s="394"/>
      <c r="J15" s="394"/>
      <c r="K15" s="394"/>
      <c r="L15" s="394"/>
    </row>
    <row r="16" spans="2:12" ht="15.75">
      <c r="B16" s="940"/>
      <c r="C16" s="935"/>
      <c r="D16" s="935"/>
      <c r="E16" s="394"/>
      <c r="F16" s="945"/>
      <c r="G16" s="945"/>
      <c r="H16" s="934"/>
      <c r="I16" s="394"/>
      <c r="J16" s="394"/>
      <c r="K16" s="394"/>
      <c r="L16" s="394"/>
    </row>
    <row r="17" spans="2:12" ht="15.75">
      <c r="B17" s="940" t="s">
        <v>952</v>
      </c>
      <c r="C17" s="935"/>
      <c r="D17" s="935"/>
      <c r="E17" s="394"/>
      <c r="F17" s="945"/>
      <c r="G17" s="945"/>
      <c r="H17" s="934"/>
      <c r="I17" s="394"/>
      <c r="J17" s="394"/>
      <c r="K17" s="394"/>
      <c r="L17" s="394"/>
    </row>
    <row r="18" spans="2:12" ht="15.75">
      <c r="B18" s="946" t="s">
        <v>408</v>
      </c>
      <c r="C18" s="935"/>
      <c r="D18" s="935"/>
      <c r="E18" s="935"/>
      <c r="F18" s="935"/>
      <c r="G18" s="935" t="s">
        <v>408</v>
      </c>
      <c r="H18" s="394"/>
      <c r="I18" s="394"/>
      <c r="J18" s="394"/>
      <c r="K18" s="394"/>
      <c r="L18" s="394"/>
    </row>
    <row r="19" spans="2:12" ht="15.75">
      <c r="B19" s="947"/>
      <c r="C19" s="935"/>
      <c r="D19" s="935"/>
      <c r="E19" s="935"/>
      <c r="F19" s="935"/>
      <c r="G19" s="394"/>
      <c r="H19" s="394"/>
      <c r="I19" s="942"/>
      <c r="J19" s="935"/>
      <c r="K19" s="935"/>
      <c r="L19" s="935"/>
    </row>
    <row r="20" spans="2:12" ht="15.75">
      <c r="B20" s="947" t="s">
        <v>566</v>
      </c>
      <c r="C20" s="935"/>
      <c r="D20" s="935"/>
      <c r="E20" s="935"/>
      <c r="F20" s="935"/>
      <c r="G20" s="394"/>
      <c r="H20" s="394"/>
      <c r="I20" s="942" t="s">
        <v>567</v>
      </c>
      <c r="J20" s="935"/>
      <c r="K20" s="935"/>
      <c r="L20" s="935"/>
    </row>
    <row r="21" spans="2:12" ht="15.75">
      <c r="B21" s="924" t="s">
        <v>568</v>
      </c>
      <c r="C21" s="924" t="str">
        <f>"Year 2018"</f>
        <v>Year 2018</v>
      </c>
      <c r="D21" s="924"/>
      <c r="E21" s="948">
        <f>I10/12</f>
        <v>0</v>
      </c>
      <c r="F21" s="948"/>
      <c r="G21" s="949">
        <f>+G15</f>
        <v>4.0949999999999997E-3</v>
      </c>
      <c r="H21" s="1312">
        <v>12</v>
      </c>
      <c r="I21" s="948">
        <f>G21*E21*H21*-1</f>
        <v>0</v>
      </c>
      <c r="J21" s="948"/>
      <c r="K21" s="948"/>
      <c r="L21" s="948">
        <f>(-I21+E21)*-1</f>
        <v>0</v>
      </c>
    </row>
    <row r="22" spans="2:12" ht="15.75">
      <c r="B22" s="924" t="s">
        <v>569</v>
      </c>
      <c r="C22" s="924" t="str">
        <f>C21</f>
        <v>Year 2018</v>
      </c>
      <c r="D22" s="924"/>
      <c r="E22" s="948">
        <f>+E21</f>
        <v>0</v>
      </c>
      <c r="F22" s="948"/>
      <c r="G22" s="949">
        <f>+G21</f>
        <v>4.0949999999999997E-3</v>
      </c>
      <c r="H22" s="1312">
        <f t="shared" ref="H22:H32" si="0">+H21-1</f>
        <v>11</v>
      </c>
      <c r="I22" s="948">
        <f t="shared" ref="I22:I32" si="1">G22*E22*H22*-1</f>
        <v>0</v>
      </c>
      <c r="J22" s="948"/>
      <c r="K22" s="948"/>
      <c r="L22" s="948">
        <f t="shared" ref="L22:L32" si="2">(-I22+E22)*-1</f>
        <v>0</v>
      </c>
    </row>
    <row r="23" spans="2:12" ht="15.75">
      <c r="B23" s="924" t="s">
        <v>570</v>
      </c>
      <c r="C23" s="924" t="str">
        <f t="shared" ref="C23:C32" si="3">C22</f>
        <v>Year 2018</v>
      </c>
      <c r="D23" s="924"/>
      <c r="E23" s="948">
        <f t="shared" ref="E23:E32" si="4">+E22</f>
        <v>0</v>
      </c>
      <c r="F23" s="948"/>
      <c r="G23" s="949">
        <f t="shared" ref="G23:G32" si="5">+G22</f>
        <v>4.0949999999999997E-3</v>
      </c>
      <c r="H23" s="1312">
        <f t="shared" si="0"/>
        <v>10</v>
      </c>
      <c r="I23" s="948">
        <f t="shared" si="1"/>
        <v>0</v>
      </c>
      <c r="J23" s="948"/>
      <c r="K23" s="948"/>
      <c r="L23" s="948">
        <f t="shared" si="2"/>
        <v>0</v>
      </c>
    </row>
    <row r="24" spans="2:12" ht="15.75">
      <c r="B24" s="924" t="s">
        <v>571</v>
      </c>
      <c r="C24" s="924" t="str">
        <f t="shared" si="3"/>
        <v>Year 2018</v>
      </c>
      <c r="D24" s="924"/>
      <c r="E24" s="948">
        <f t="shared" si="4"/>
        <v>0</v>
      </c>
      <c r="F24" s="948"/>
      <c r="G24" s="949">
        <f t="shared" si="5"/>
        <v>4.0949999999999997E-3</v>
      </c>
      <c r="H24" s="1312">
        <f t="shared" si="0"/>
        <v>9</v>
      </c>
      <c r="I24" s="948">
        <f t="shared" si="1"/>
        <v>0</v>
      </c>
      <c r="J24" s="948"/>
      <c r="K24" s="948"/>
      <c r="L24" s="948">
        <f t="shared" si="2"/>
        <v>0</v>
      </c>
    </row>
    <row r="25" spans="2:12" ht="15.75">
      <c r="B25" s="924" t="s">
        <v>572</v>
      </c>
      <c r="C25" s="924" t="str">
        <f t="shared" si="3"/>
        <v>Year 2018</v>
      </c>
      <c r="D25" s="924"/>
      <c r="E25" s="948">
        <f t="shared" si="4"/>
        <v>0</v>
      </c>
      <c r="F25" s="948"/>
      <c r="G25" s="949">
        <f t="shared" si="5"/>
        <v>4.0949999999999997E-3</v>
      </c>
      <c r="H25" s="1312">
        <f t="shared" si="0"/>
        <v>8</v>
      </c>
      <c r="I25" s="948">
        <f t="shared" si="1"/>
        <v>0</v>
      </c>
      <c r="J25" s="948"/>
      <c r="K25" s="948"/>
      <c r="L25" s="948">
        <f t="shared" si="2"/>
        <v>0</v>
      </c>
    </row>
    <row r="26" spans="2:12" ht="15.75">
      <c r="B26" s="924" t="s">
        <v>573</v>
      </c>
      <c r="C26" s="924" t="str">
        <f t="shared" si="3"/>
        <v>Year 2018</v>
      </c>
      <c r="D26" s="924"/>
      <c r="E26" s="948">
        <f t="shared" si="4"/>
        <v>0</v>
      </c>
      <c r="F26" s="948"/>
      <c r="G26" s="949">
        <f t="shared" si="5"/>
        <v>4.0949999999999997E-3</v>
      </c>
      <c r="H26" s="1312">
        <f t="shared" si="0"/>
        <v>7</v>
      </c>
      <c r="I26" s="948">
        <f t="shared" si="1"/>
        <v>0</v>
      </c>
      <c r="J26" s="948"/>
      <c r="K26" s="948"/>
      <c r="L26" s="948">
        <f t="shared" si="2"/>
        <v>0</v>
      </c>
    </row>
    <row r="27" spans="2:12" ht="15.75">
      <c r="B27" s="924" t="s">
        <v>574</v>
      </c>
      <c r="C27" s="924" t="str">
        <f t="shared" si="3"/>
        <v>Year 2018</v>
      </c>
      <c r="D27" s="924"/>
      <c r="E27" s="948">
        <f t="shared" si="4"/>
        <v>0</v>
      </c>
      <c r="F27" s="948"/>
      <c r="G27" s="949">
        <f t="shared" si="5"/>
        <v>4.0949999999999997E-3</v>
      </c>
      <c r="H27" s="1312">
        <f t="shared" si="0"/>
        <v>6</v>
      </c>
      <c r="I27" s="948">
        <f t="shared" si="1"/>
        <v>0</v>
      </c>
      <c r="J27" s="948"/>
      <c r="K27" s="948"/>
      <c r="L27" s="948">
        <f t="shared" si="2"/>
        <v>0</v>
      </c>
    </row>
    <row r="28" spans="2:12" ht="15.75">
      <c r="B28" s="924" t="s">
        <v>575</v>
      </c>
      <c r="C28" s="924" t="str">
        <f t="shared" si="3"/>
        <v>Year 2018</v>
      </c>
      <c r="D28" s="924"/>
      <c r="E28" s="948">
        <f t="shared" si="4"/>
        <v>0</v>
      </c>
      <c r="F28" s="948"/>
      <c r="G28" s="949">
        <f t="shared" si="5"/>
        <v>4.0949999999999997E-3</v>
      </c>
      <c r="H28" s="1312">
        <f t="shared" si="0"/>
        <v>5</v>
      </c>
      <c r="I28" s="948">
        <f t="shared" si="1"/>
        <v>0</v>
      </c>
      <c r="J28" s="948"/>
      <c r="K28" s="948"/>
      <c r="L28" s="948">
        <f t="shared" si="2"/>
        <v>0</v>
      </c>
    </row>
    <row r="29" spans="2:12" ht="15.75">
      <c r="B29" s="924" t="s">
        <v>576</v>
      </c>
      <c r="C29" s="924" t="str">
        <f t="shared" si="3"/>
        <v>Year 2018</v>
      </c>
      <c r="D29" s="924"/>
      <c r="E29" s="948">
        <f t="shared" si="4"/>
        <v>0</v>
      </c>
      <c r="F29" s="948"/>
      <c r="G29" s="949">
        <f t="shared" si="5"/>
        <v>4.0949999999999997E-3</v>
      </c>
      <c r="H29" s="1312">
        <f t="shared" si="0"/>
        <v>4</v>
      </c>
      <c r="I29" s="948">
        <f t="shared" si="1"/>
        <v>0</v>
      </c>
      <c r="J29" s="948"/>
      <c r="K29" s="948"/>
      <c r="L29" s="948">
        <f t="shared" si="2"/>
        <v>0</v>
      </c>
    </row>
    <row r="30" spans="2:12" ht="15.75">
      <c r="B30" s="924" t="s">
        <v>577</v>
      </c>
      <c r="C30" s="924" t="str">
        <f t="shared" si="3"/>
        <v>Year 2018</v>
      </c>
      <c r="D30" s="924"/>
      <c r="E30" s="948">
        <f t="shared" si="4"/>
        <v>0</v>
      </c>
      <c r="F30" s="948"/>
      <c r="G30" s="949">
        <f t="shared" si="5"/>
        <v>4.0949999999999997E-3</v>
      </c>
      <c r="H30" s="1312">
        <f t="shared" si="0"/>
        <v>3</v>
      </c>
      <c r="I30" s="948">
        <f t="shared" si="1"/>
        <v>0</v>
      </c>
      <c r="J30" s="948"/>
      <c r="K30" s="948"/>
      <c r="L30" s="948">
        <f t="shared" si="2"/>
        <v>0</v>
      </c>
    </row>
    <row r="31" spans="2:12" ht="15.75">
      <c r="B31" s="924" t="s">
        <v>578</v>
      </c>
      <c r="C31" s="924" t="str">
        <f t="shared" si="3"/>
        <v>Year 2018</v>
      </c>
      <c r="D31" s="924"/>
      <c r="E31" s="948">
        <f t="shared" si="4"/>
        <v>0</v>
      </c>
      <c r="F31" s="948"/>
      <c r="G31" s="949">
        <f t="shared" si="5"/>
        <v>4.0949999999999997E-3</v>
      </c>
      <c r="H31" s="1312">
        <f t="shared" si="0"/>
        <v>2</v>
      </c>
      <c r="I31" s="948">
        <f t="shared" si="1"/>
        <v>0</v>
      </c>
      <c r="J31" s="948"/>
      <c r="K31" s="948"/>
      <c r="L31" s="948">
        <f t="shared" si="2"/>
        <v>0</v>
      </c>
    </row>
    <row r="32" spans="2:12" ht="15.75">
      <c r="B32" s="924" t="s">
        <v>579</v>
      </c>
      <c r="C32" s="924" t="str">
        <f t="shared" si="3"/>
        <v>Year 2018</v>
      </c>
      <c r="D32" s="924"/>
      <c r="E32" s="948">
        <f t="shared" si="4"/>
        <v>0</v>
      </c>
      <c r="F32" s="948"/>
      <c r="G32" s="949">
        <f t="shared" si="5"/>
        <v>4.0949999999999997E-3</v>
      </c>
      <c r="H32" s="1312">
        <f t="shared" si="0"/>
        <v>1</v>
      </c>
      <c r="I32" s="950">
        <f t="shared" si="1"/>
        <v>0</v>
      </c>
      <c r="J32" s="948"/>
      <c r="K32" s="948"/>
      <c r="L32" s="948">
        <f t="shared" si="2"/>
        <v>0</v>
      </c>
    </row>
    <row r="33" spans="2:12" ht="15.75">
      <c r="B33" s="924"/>
      <c r="C33" s="924"/>
      <c r="D33" s="924"/>
      <c r="E33" s="948"/>
      <c r="F33" s="948"/>
      <c r="G33" s="949"/>
      <c r="H33" s="935"/>
      <c r="I33" s="948">
        <f>SUM(I21:I32)</f>
        <v>0</v>
      </c>
      <c r="J33" s="948"/>
      <c r="K33" s="948"/>
      <c r="L33" s="951">
        <f>SUM(L21:L32)</f>
        <v>0</v>
      </c>
    </row>
    <row r="34" spans="2:12" ht="15.75">
      <c r="B34" s="924"/>
      <c r="C34" s="924"/>
      <c r="D34" s="924"/>
      <c r="E34" s="948"/>
      <c r="F34" s="948"/>
      <c r="G34" s="949"/>
      <c r="H34" s="935"/>
      <c r="I34" s="948"/>
      <c r="J34" s="948" t="s">
        <v>408</v>
      </c>
      <c r="K34" s="948"/>
      <c r="L34" s="394"/>
    </row>
    <row r="35" spans="2:12" ht="15.75">
      <c r="B35" s="924"/>
      <c r="C35" s="924"/>
      <c r="D35" s="924"/>
      <c r="E35" s="934"/>
      <c r="F35" s="934"/>
      <c r="G35" s="949"/>
      <c r="H35" s="935"/>
      <c r="I35" s="952" t="s">
        <v>580</v>
      </c>
      <c r="J35" s="948"/>
      <c r="K35" s="948"/>
      <c r="L35" s="948"/>
    </row>
    <row r="36" spans="2:12" ht="15.75">
      <c r="B36" s="924" t="s">
        <v>581</v>
      </c>
      <c r="C36" s="924" t="str">
        <f>"Year 2019"</f>
        <v>Year 2019</v>
      </c>
      <c r="D36" s="924"/>
      <c r="E36" s="934">
        <f>L33</f>
        <v>0</v>
      </c>
      <c r="F36" s="934"/>
      <c r="G36" s="949">
        <f>+G32</f>
        <v>4.0949999999999997E-3</v>
      </c>
      <c r="H36" s="1312">
        <v>12</v>
      </c>
      <c r="I36" s="948">
        <f>+H36*G36*E36</f>
        <v>0</v>
      </c>
      <c r="J36" s="948"/>
      <c r="K36" s="948"/>
      <c r="L36" s="951">
        <f>+E36+I36</f>
        <v>0</v>
      </c>
    </row>
    <row r="37" spans="2:12" ht="15.75">
      <c r="B37" s="924"/>
      <c r="C37" s="924"/>
      <c r="D37" s="924"/>
      <c r="E37" s="934"/>
      <c r="F37" s="934"/>
      <c r="G37" s="949"/>
      <c r="H37" s="935"/>
      <c r="I37" s="948"/>
      <c r="J37" s="948"/>
      <c r="K37" s="948"/>
      <c r="L37" s="948"/>
    </row>
    <row r="38" spans="2:12" ht="15.75">
      <c r="B38" s="953" t="s">
        <v>582</v>
      </c>
      <c r="C38" s="924"/>
      <c r="D38" s="924"/>
      <c r="E38" s="948"/>
      <c r="F38" s="948"/>
      <c r="G38" s="949"/>
      <c r="H38" s="935"/>
      <c r="I38" s="952" t="s">
        <v>567</v>
      </c>
      <c r="J38" s="948"/>
      <c r="K38" s="948"/>
      <c r="L38" s="948"/>
    </row>
    <row r="39" spans="2:12" ht="15.75">
      <c r="B39" s="924" t="s">
        <v>568</v>
      </c>
      <c r="C39" s="924" t="str">
        <f>"Year 2020"</f>
        <v>Year 2020</v>
      </c>
      <c r="D39" s="924"/>
      <c r="E39" s="954">
        <f>-L36</f>
        <v>0</v>
      </c>
      <c r="F39" s="934"/>
      <c r="G39" s="949">
        <f>+G32</f>
        <v>4.0949999999999997E-3</v>
      </c>
      <c r="H39" s="935"/>
      <c r="I39" s="948">
        <f xml:space="preserve"> -G39*E39</f>
        <v>0</v>
      </c>
      <c r="J39" s="948">
        <f>PMT(G39,12,L$36)</f>
        <v>0</v>
      </c>
      <c r="K39" s="948"/>
      <c r="L39" s="948">
        <f>(+E39+E39*G39-J39)*-1</f>
        <v>0</v>
      </c>
    </row>
    <row r="40" spans="2:12" ht="15.75">
      <c r="B40" s="924" t="s">
        <v>569</v>
      </c>
      <c r="C40" s="924" t="str">
        <f>+C39</f>
        <v>Year 2020</v>
      </c>
      <c r="D40" s="924"/>
      <c r="E40" s="934">
        <f>-L39</f>
        <v>0</v>
      </c>
      <c r="F40" s="934"/>
      <c r="G40" s="949">
        <f>+G39</f>
        <v>4.0949999999999997E-3</v>
      </c>
      <c r="H40" s="935"/>
      <c r="I40" s="948">
        <f xml:space="preserve"> -G40*E40</f>
        <v>0</v>
      </c>
      <c r="J40" s="948">
        <f>J39</f>
        <v>0</v>
      </c>
      <c r="K40" s="948"/>
      <c r="L40" s="948">
        <f t="shared" ref="L40:L50" si="6">(+E40+E40*G40-J40)*-1</f>
        <v>0</v>
      </c>
    </row>
    <row r="41" spans="2:12" ht="15.75">
      <c r="B41" s="924" t="s">
        <v>570</v>
      </c>
      <c r="C41" s="924" t="str">
        <f>+C40</f>
        <v>Year 2020</v>
      </c>
      <c r="D41" s="924"/>
      <c r="E41" s="934">
        <f t="shared" ref="E41:E50" si="7">-L40</f>
        <v>0</v>
      </c>
      <c r="F41" s="934"/>
      <c r="G41" s="949">
        <f t="shared" ref="G41:G50" si="8">+G40</f>
        <v>4.0949999999999997E-3</v>
      </c>
      <c r="H41" s="935"/>
      <c r="I41" s="948">
        <f t="shared" ref="I41:I50" si="9" xml:space="preserve"> -G41*E41</f>
        <v>0</v>
      </c>
      <c r="J41" s="948">
        <f t="shared" ref="J41:J50" si="10">J40</f>
        <v>0</v>
      </c>
      <c r="K41" s="948"/>
      <c r="L41" s="948">
        <f t="shared" si="6"/>
        <v>0</v>
      </c>
    </row>
    <row r="42" spans="2:12" ht="15.75">
      <c r="B42" s="924" t="s">
        <v>571</v>
      </c>
      <c r="C42" s="924" t="str">
        <f>+C41</f>
        <v>Year 2020</v>
      </c>
      <c r="D42" s="924"/>
      <c r="E42" s="934">
        <f t="shared" si="7"/>
        <v>0</v>
      </c>
      <c r="F42" s="934"/>
      <c r="G42" s="949">
        <f t="shared" si="8"/>
        <v>4.0949999999999997E-3</v>
      </c>
      <c r="H42" s="935"/>
      <c r="I42" s="948">
        <f t="shared" si="9"/>
        <v>0</v>
      </c>
      <c r="J42" s="948">
        <f t="shared" si="10"/>
        <v>0</v>
      </c>
      <c r="K42" s="948"/>
      <c r="L42" s="948">
        <f t="shared" si="6"/>
        <v>0</v>
      </c>
    </row>
    <row r="43" spans="2:12" ht="15.75">
      <c r="B43" s="924" t="s">
        <v>572</v>
      </c>
      <c r="C43" s="924" t="str">
        <f>+C42</f>
        <v>Year 2020</v>
      </c>
      <c r="D43" s="924"/>
      <c r="E43" s="934">
        <f t="shared" si="7"/>
        <v>0</v>
      </c>
      <c r="F43" s="934"/>
      <c r="G43" s="949">
        <f t="shared" si="8"/>
        <v>4.0949999999999997E-3</v>
      </c>
      <c r="H43" s="935"/>
      <c r="I43" s="948">
        <f t="shared" si="9"/>
        <v>0</v>
      </c>
      <c r="J43" s="948">
        <f>J42</f>
        <v>0</v>
      </c>
      <c r="K43" s="948"/>
      <c r="L43" s="948">
        <f t="shared" si="6"/>
        <v>0</v>
      </c>
    </row>
    <row r="44" spans="2:12" ht="15.75">
      <c r="B44" s="924" t="s">
        <v>573</v>
      </c>
      <c r="C44" s="924" t="str">
        <f>C43</f>
        <v>Year 2020</v>
      </c>
      <c r="D44" s="394"/>
      <c r="E44" s="934">
        <f t="shared" si="7"/>
        <v>0</v>
      </c>
      <c r="F44" s="934"/>
      <c r="G44" s="949">
        <f t="shared" si="8"/>
        <v>4.0949999999999997E-3</v>
      </c>
      <c r="H44" s="935"/>
      <c r="I44" s="948">
        <f t="shared" si="9"/>
        <v>0</v>
      </c>
      <c r="J44" s="948">
        <f t="shared" si="10"/>
        <v>0</v>
      </c>
      <c r="K44" s="948"/>
      <c r="L44" s="948">
        <f t="shared" si="6"/>
        <v>0</v>
      </c>
    </row>
    <row r="45" spans="2:12" ht="15.75">
      <c r="B45" s="924" t="s">
        <v>574</v>
      </c>
      <c r="C45" s="924" t="str">
        <f t="shared" ref="C45:C50" si="11">+C44</f>
        <v>Year 2020</v>
      </c>
      <c r="D45" s="924"/>
      <c r="E45" s="934">
        <f t="shared" si="7"/>
        <v>0</v>
      </c>
      <c r="F45" s="934"/>
      <c r="G45" s="949">
        <f t="shared" si="8"/>
        <v>4.0949999999999997E-3</v>
      </c>
      <c r="H45" s="935"/>
      <c r="I45" s="948">
        <f t="shared" si="9"/>
        <v>0</v>
      </c>
      <c r="J45" s="948">
        <f t="shared" si="10"/>
        <v>0</v>
      </c>
      <c r="K45" s="948"/>
      <c r="L45" s="948">
        <f t="shared" si="6"/>
        <v>0</v>
      </c>
    </row>
    <row r="46" spans="2:12" ht="15.75">
      <c r="B46" s="924" t="s">
        <v>575</v>
      </c>
      <c r="C46" s="924" t="str">
        <f t="shared" si="11"/>
        <v>Year 2020</v>
      </c>
      <c r="D46" s="924"/>
      <c r="E46" s="934">
        <f t="shared" si="7"/>
        <v>0</v>
      </c>
      <c r="F46" s="934"/>
      <c r="G46" s="949">
        <f t="shared" si="8"/>
        <v>4.0949999999999997E-3</v>
      </c>
      <c r="H46" s="935"/>
      <c r="I46" s="948">
        <f t="shared" si="9"/>
        <v>0</v>
      </c>
      <c r="J46" s="948">
        <f t="shared" si="10"/>
        <v>0</v>
      </c>
      <c r="K46" s="948"/>
      <c r="L46" s="948">
        <f t="shared" si="6"/>
        <v>0</v>
      </c>
    </row>
    <row r="47" spans="2:12" ht="15.75">
      <c r="B47" s="924" t="s">
        <v>576</v>
      </c>
      <c r="C47" s="924" t="str">
        <f t="shared" si="11"/>
        <v>Year 2020</v>
      </c>
      <c r="D47" s="924"/>
      <c r="E47" s="934">
        <f t="shared" si="7"/>
        <v>0</v>
      </c>
      <c r="F47" s="934"/>
      <c r="G47" s="949">
        <f t="shared" si="8"/>
        <v>4.0949999999999997E-3</v>
      </c>
      <c r="H47" s="935"/>
      <c r="I47" s="948">
        <f t="shared" si="9"/>
        <v>0</v>
      </c>
      <c r="J47" s="948">
        <f>J46</f>
        <v>0</v>
      </c>
      <c r="K47" s="948"/>
      <c r="L47" s="948">
        <f t="shared" si="6"/>
        <v>0</v>
      </c>
    </row>
    <row r="48" spans="2:12" ht="15.75">
      <c r="B48" s="924" t="s">
        <v>577</v>
      </c>
      <c r="C48" s="924" t="str">
        <f t="shared" si="11"/>
        <v>Year 2020</v>
      </c>
      <c r="D48" s="924"/>
      <c r="E48" s="934">
        <f t="shared" si="7"/>
        <v>0</v>
      </c>
      <c r="F48" s="934"/>
      <c r="G48" s="949">
        <f t="shared" si="8"/>
        <v>4.0949999999999997E-3</v>
      </c>
      <c r="H48" s="935"/>
      <c r="I48" s="948">
        <f t="shared" si="9"/>
        <v>0</v>
      </c>
      <c r="J48" s="948">
        <f t="shared" si="10"/>
        <v>0</v>
      </c>
      <c r="K48" s="948"/>
      <c r="L48" s="948">
        <f t="shared" si="6"/>
        <v>0</v>
      </c>
    </row>
    <row r="49" spans="2:12" ht="15.75">
      <c r="B49" s="924" t="s">
        <v>578</v>
      </c>
      <c r="C49" s="924" t="str">
        <f t="shared" si="11"/>
        <v>Year 2020</v>
      </c>
      <c r="D49" s="924"/>
      <c r="E49" s="934">
        <f t="shared" si="7"/>
        <v>0</v>
      </c>
      <c r="F49" s="934"/>
      <c r="G49" s="949">
        <f t="shared" si="8"/>
        <v>4.0949999999999997E-3</v>
      </c>
      <c r="H49" s="924"/>
      <c r="I49" s="948">
        <f t="shared" si="9"/>
        <v>0</v>
      </c>
      <c r="J49" s="948">
        <f t="shared" si="10"/>
        <v>0</v>
      </c>
      <c r="K49" s="948"/>
      <c r="L49" s="948">
        <f t="shared" si="6"/>
        <v>0</v>
      </c>
    </row>
    <row r="50" spans="2:12" ht="15.75">
      <c r="B50" s="924" t="s">
        <v>579</v>
      </c>
      <c r="C50" s="924" t="str">
        <f t="shared" si="11"/>
        <v>Year 2020</v>
      </c>
      <c r="D50" s="924"/>
      <c r="E50" s="934">
        <f t="shared" si="7"/>
        <v>0</v>
      </c>
      <c r="F50" s="934"/>
      <c r="G50" s="949">
        <f t="shared" si="8"/>
        <v>4.0949999999999997E-3</v>
      </c>
      <c r="H50" s="924"/>
      <c r="I50" s="950">
        <f t="shared" si="9"/>
        <v>0</v>
      </c>
      <c r="J50" s="948">
        <f t="shared" si="10"/>
        <v>0</v>
      </c>
      <c r="K50" s="948"/>
      <c r="L50" s="948">
        <f t="shared" si="6"/>
        <v>0</v>
      </c>
    </row>
    <row r="51" spans="2:12" ht="15.75">
      <c r="B51" s="924"/>
      <c r="C51" s="924"/>
      <c r="D51" s="924"/>
      <c r="E51" s="934"/>
      <c r="F51" s="934"/>
      <c r="G51" s="949"/>
      <c r="H51" s="924"/>
      <c r="I51" s="948">
        <f>SUM(I39:I50)</f>
        <v>0</v>
      </c>
      <c r="J51" s="948"/>
      <c r="K51" s="948"/>
      <c r="L51" s="948"/>
    </row>
    <row r="52" spans="2:12" ht="15">
      <c r="B52" s="394"/>
      <c r="C52" s="394"/>
      <c r="D52" s="394"/>
      <c r="E52" s="394"/>
      <c r="F52" s="394"/>
      <c r="G52" s="394"/>
      <c r="H52" s="394"/>
      <c r="I52" s="394"/>
      <c r="J52" s="955"/>
      <c r="K52" s="394"/>
      <c r="L52" s="394"/>
    </row>
    <row r="53" spans="2:12" ht="15.75">
      <c r="B53" s="924" t="s">
        <v>583</v>
      </c>
      <c r="C53" s="394"/>
      <c r="D53" s="394"/>
      <c r="E53" s="394"/>
      <c r="F53" s="394"/>
      <c r="G53" s="394"/>
      <c r="H53" s="394"/>
      <c r="I53" s="394"/>
      <c r="J53" s="956">
        <f>(SUM(J39:J50)*-1)</f>
        <v>0</v>
      </c>
      <c r="K53" s="394"/>
      <c r="L53" s="394"/>
    </row>
    <row r="54" spans="2:12" ht="15.75">
      <c r="B54" s="924" t="s">
        <v>584</v>
      </c>
      <c r="C54" s="394"/>
      <c r="D54" s="394"/>
      <c r="E54" s="394"/>
      <c r="F54" s="394"/>
      <c r="G54" s="394"/>
      <c r="H54" s="394"/>
      <c r="I54" s="394"/>
      <c r="J54" s="957">
        <f>+I10</f>
        <v>0</v>
      </c>
      <c r="K54" s="394"/>
      <c r="L54" s="394"/>
    </row>
    <row r="55" spans="2:12" ht="15.75">
      <c r="B55" s="924" t="s">
        <v>585</v>
      </c>
      <c r="C55" s="394"/>
      <c r="D55" s="394"/>
      <c r="E55" s="394"/>
      <c r="F55" s="394"/>
      <c r="G55" s="394"/>
      <c r="H55" s="394"/>
      <c r="I55" s="394"/>
      <c r="J55" s="956">
        <f>(J53+J54)</f>
        <v>0</v>
      </c>
      <c r="K55" s="394"/>
      <c r="L55" s="394"/>
    </row>
    <row r="56" spans="2:12">
      <c r="B56" s="393"/>
      <c r="C56" s="393"/>
      <c r="D56" s="393"/>
      <c r="E56" s="393"/>
      <c r="F56" s="393"/>
      <c r="G56" s="393"/>
      <c r="H56" s="393"/>
      <c r="I56" s="393"/>
      <c r="J56" s="393"/>
      <c r="K56" s="393"/>
      <c r="L56" s="393"/>
    </row>
    <row r="57" spans="2:12" ht="66.599999999999994" customHeight="1">
      <c r="B57" s="1610" t="s">
        <v>586</v>
      </c>
      <c r="C57" s="1610"/>
      <c r="D57" s="1610"/>
      <c r="E57" s="1610"/>
      <c r="F57" s="1610"/>
      <c r="G57" s="1610"/>
      <c r="H57" s="1610"/>
      <c r="I57" s="1610"/>
      <c r="J57" s="1610"/>
      <c r="K57" s="1610"/>
      <c r="L57" s="1610"/>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7"/>
  <sheetViews>
    <sheetView view="pageBreakPreview" zoomScale="60" zoomScaleNormal="100" workbookViewId="0">
      <selection activeCell="B17" sqref="B17:C50"/>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609" t="s">
        <v>610</v>
      </c>
      <c r="C1" s="1609"/>
      <c r="D1" s="1609"/>
      <c r="E1" s="1609"/>
      <c r="F1" s="1609"/>
      <c r="G1" s="1609"/>
      <c r="H1" s="1609"/>
      <c r="I1" s="1609"/>
      <c r="J1" s="1609"/>
      <c r="K1" s="1609"/>
      <c r="L1" s="1609"/>
    </row>
    <row r="2" spans="1:12" ht="15.75">
      <c r="A2" s="173"/>
      <c r="B2" s="1608" t="s">
        <v>557</v>
      </c>
      <c r="C2" s="1608"/>
      <c r="D2" s="1608"/>
      <c r="E2" s="1608"/>
      <c r="F2" s="1608"/>
      <c r="G2" s="1608"/>
      <c r="H2" s="1608"/>
      <c r="I2" s="1608"/>
      <c r="J2" s="1608"/>
      <c r="K2" s="1608"/>
      <c r="L2" s="1608"/>
    </row>
    <row r="3" spans="1:12" ht="15.75">
      <c r="A3" s="173"/>
      <c r="B3" s="1608" t="s">
        <v>587</v>
      </c>
      <c r="C3" s="1608"/>
      <c r="D3" s="1608"/>
      <c r="E3" s="1608"/>
      <c r="F3" s="1608"/>
      <c r="G3" s="1608"/>
      <c r="H3" s="1608"/>
      <c r="I3" s="1608"/>
      <c r="J3" s="1608"/>
      <c r="K3" s="1608"/>
      <c r="L3" s="1608"/>
    </row>
    <row r="4" spans="1:12" ht="15.75">
      <c r="A4" s="173"/>
      <c r="B4" s="394"/>
      <c r="C4" s="394"/>
      <c r="D4" s="394"/>
      <c r="E4" s="1608"/>
      <c r="F4" s="1608"/>
      <c r="G4" s="1608"/>
      <c r="H4" s="1608"/>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3"/>
      <c r="C7" s="924"/>
      <c r="D7" s="924"/>
      <c r="E7" s="924"/>
      <c r="F7" s="924"/>
      <c r="G7" s="924"/>
      <c r="H7" s="924"/>
      <c r="I7" s="924"/>
      <c r="J7" s="924"/>
      <c r="K7" s="924"/>
      <c r="L7" s="924"/>
    </row>
    <row r="8" spans="1:12" ht="78.75">
      <c r="A8" s="173"/>
      <c r="B8" s="925" t="str">
        <f>"Reconciliation Revenue Requirement For Year 2018 Available May 25, 2019"</f>
        <v>Reconciliation Revenue Requirement For Year 2018 Available May 25, 2019</v>
      </c>
      <c r="C8" s="924"/>
      <c r="D8" s="924"/>
      <c r="E8" s="925" t="s">
        <v>951</v>
      </c>
      <c r="F8" s="924"/>
      <c r="G8" s="924"/>
      <c r="H8" s="394"/>
      <c r="I8" s="925" t="s">
        <v>559</v>
      </c>
      <c r="J8" s="394"/>
      <c r="K8" s="394"/>
      <c r="L8" s="394"/>
    </row>
    <row r="9" spans="1:12" ht="15.75">
      <c r="A9" s="173"/>
      <c r="B9" s="926" t="s">
        <v>408</v>
      </c>
      <c r="C9" s="924"/>
      <c r="D9" s="924"/>
      <c r="E9" s="926"/>
      <c r="F9" s="924"/>
      <c r="G9" s="924"/>
      <c r="H9" s="394"/>
      <c r="I9" s="927"/>
      <c r="J9" s="394"/>
      <c r="K9" s="394"/>
      <c r="L9" s="394"/>
    </row>
    <row r="10" spans="1:12" ht="16.5" thickBot="1">
      <c r="A10" s="173"/>
      <c r="B10" s="922">
        <v>0</v>
      </c>
      <c r="C10" s="928" t="str">
        <f>"-"</f>
        <v>-</v>
      </c>
      <c r="D10" s="929"/>
      <c r="E10" s="922">
        <v>0</v>
      </c>
      <c r="F10" s="930"/>
      <c r="G10" s="931" t="str">
        <f>"="</f>
        <v>=</v>
      </c>
      <c r="H10" s="932"/>
      <c r="I10" s="933">
        <f>IF(B10=0,0,E10-B10)</f>
        <v>0</v>
      </c>
      <c r="J10" s="394"/>
      <c r="K10" s="394"/>
      <c r="L10" s="394"/>
    </row>
    <row r="11" spans="1:12" ht="15.75">
      <c r="A11" s="173"/>
      <c r="B11" s="934"/>
      <c r="C11" s="935"/>
      <c r="D11" s="935"/>
      <c r="E11" s="934"/>
      <c r="F11" s="934"/>
      <c r="G11" s="935"/>
      <c r="H11" s="934"/>
      <c r="I11" s="394"/>
      <c r="J11" s="394"/>
      <c r="K11" s="394"/>
      <c r="L11" s="394"/>
    </row>
    <row r="12" spans="1:12" ht="16.5" thickBot="1">
      <c r="A12" s="173"/>
      <c r="B12" s="936"/>
      <c r="C12" s="937"/>
      <c r="D12" s="937"/>
      <c r="E12" s="936"/>
      <c r="F12" s="936"/>
      <c r="G12" s="937"/>
      <c r="H12" s="936"/>
      <c r="I12" s="938"/>
      <c r="J12" s="938"/>
      <c r="K12" s="938"/>
      <c r="L12" s="938"/>
    </row>
    <row r="13" spans="1:12" ht="15.75">
      <c r="A13" s="173"/>
      <c r="B13" s="939"/>
      <c r="C13" s="935"/>
      <c r="D13" s="935"/>
      <c r="E13" s="934"/>
      <c r="F13" s="934"/>
      <c r="G13" s="935"/>
      <c r="H13" s="934"/>
      <c r="I13" s="394"/>
      <c r="J13" s="394"/>
      <c r="K13" s="394"/>
      <c r="L13" s="394"/>
    </row>
    <row r="14" spans="1:12" ht="47.25">
      <c r="A14" s="173"/>
      <c r="B14" s="940" t="s">
        <v>623</v>
      </c>
      <c r="C14" s="935"/>
      <c r="D14" s="935"/>
      <c r="E14" s="941" t="s">
        <v>560</v>
      </c>
      <c r="F14" s="934"/>
      <c r="G14" s="941" t="s">
        <v>561</v>
      </c>
      <c r="H14" s="942" t="s">
        <v>562</v>
      </c>
      <c r="I14" s="943" t="s">
        <v>563</v>
      </c>
      <c r="J14" s="941" t="s">
        <v>564</v>
      </c>
      <c r="K14" s="944"/>
      <c r="L14" s="941" t="s">
        <v>565</v>
      </c>
    </row>
    <row r="15" spans="1:12" ht="15.75">
      <c r="A15" s="173"/>
      <c r="B15" s="940" t="s">
        <v>624</v>
      </c>
      <c r="C15" s="935"/>
      <c r="D15" s="935"/>
      <c r="E15" s="394"/>
      <c r="F15" s="945"/>
      <c r="G15" s="1313">
        <f>'WS R Interest'!G15</f>
        <v>4.0949999999999997E-3</v>
      </c>
      <c r="H15" s="173"/>
      <c r="I15" s="394"/>
      <c r="J15" s="394"/>
      <c r="K15" s="394"/>
      <c r="L15" s="394"/>
    </row>
    <row r="16" spans="1:12" ht="15.75">
      <c r="A16" s="173"/>
      <c r="B16" s="940"/>
      <c r="C16" s="935"/>
      <c r="D16" s="935"/>
      <c r="E16" s="394"/>
      <c r="F16" s="945"/>
      <c r="G16" s="945"/>
      <c r="H16" s="934"/>
      <c r="I16" s="394"/>
      <c r="J16" s="394"/>
      <c r="K16" s="394"/>
      <c r="L16" s="394"/>
    </row>
    <row r="17" spans="1:12" ht="15.75">
      <c r="A17" s="173"/>
      <c r="B17" s="940" t="s">
        <v>952</v>
      </c>
      <c r="C17" s="935"/>
      <c r="D17" s="935"/>
      <c r="E17" s="394"/>
      <c r="F17" s="945"/>
      <c r="G17" s="945"/>
      <c r="H17" s="934"/>
      <c r="I17" s="394"/>
      <c r="J17" s="394"/>
      <c r="K17" s="394"/>
      <c r="L17" s="394"/>
    </row>
    <row r="18" spans="1:12" ht="15.75">
      <c r="A18" s="173"/>
      <c r="B18" s="946" t="s">
        <v>408</v>
      </c>
      <c r="C18" s="935"/>
      <c r="D18" s="935"/>
      <c r="E18" s="935"/>
      <c r="F18" s="935"/>
      <c r="G18" s="935" t="s">
        <v>408</v>
      </c>
      <c r="H18" s="394"/>
      <c r="I18" s="394"/>
      <c r="J18" s="394"/>
      <c r="K18" s="394"/>
      <c r="L18" s="394"/>
    </row>
    <row r="19" spans="1:12" ht="15.75">
      <c r="A19" s="173"/>
      <c r="B19" s="947"/>
      <c r="C19" s="935"/>
      <c r="D19" s="935"/>
      <c r="E19" s="935"/>
      <c r="F19" s="935"/>
      <c r="G19" s="394"/>
      <c r="H19" s="394"/>
      <c r="I19" s="942"/>
      <c r="J19" s="935"/>
      <c r="K19" s="935"/>
      <c r="L19" s="935"/>
    </row>
    <row r="20" spans="1:12" ht="15.75">
      <c r="A20" s="173"/>
      <c r="B20" s="947" t="s">
        <v>566</v>
      </c>
      <c r="C20" s="935"/>
      <c r="D20" s="935"/>
      <c r="E20" s="935"/>
      <c r="F20" s="935"/>
      <c r="G20" s="394"/>
      <c r="H20" s="394"/>
      <c r="I20" s="942" t="s">
        <v>567</v>
      </c>
      <c r="J20" s="935"/>
      <c r="K20" s="935"/>
      <c r="L20" s="935"/>
    </row>
    <row r="21" spans="1:12" ht="15.75">
      <c r="A21" s="173"/>
      <c r="B21" s="924" t="s">
        <v>568</v>
      </c>
      <c r="C21" s="924" t="str">
        <f>"Year 2018"</f>
        <v>Year 2018</v>
      </c>
      <c r="D21" s="924"/>
      <c r="E21" s="948">
        <f>I10/12</f>
        <v>0</v>
      </c>
      <c r="F21" s="948"/>
      <c r="G21" s="949">
        <f>+G15</f>
        <v>4.0949999999999997E-3</v>
      </c>
      <c r="H21" s="1312">
        <v>12</v>
      </c>
      <c r="I21" s="948">
        <f>G21*E21*H21*-1</f>
        <v>0</v>
      </c>
      <c r="J21" s="948"/>
      <c r="K21" s="948"/>
      <c r="L21" s="948">
        <f>(-I21+E21)*-1</f>
        <v>0</v>
      </c>
    </row>
    <row r="22" spans="1:12" ht="15.75">
      <c r="A22" s="173"/>
      <c r="B22" s="924" t="s">
        <v>569</v>
      </c>
      <c r="C22" s="924" t="str">
        <f>C21</f>
        <v>Year 2018</v>
      </c>
      <c r="D22" s="924"/>
      <c r="E22" s="948">
        <f>+E21</f>
        <v>0</v>
      </c>
      <c r="F22" s="948"/>
      <c r="G22" s="949">
        <f>+G21</f>
        <v>4.0949999999999997E-3</v>
      </c>
      <c r="H22" s="1312">
        <f t="shared" ref="H22:H32" si="0">+H21-1</f>
        <v>11</v>
      </c>
      <c r="I22" s="948">
        <f t="shared" ref="I22:I32" si="1">G22*E22*H22*-1</f>
        <v>0</v>
      </c>
      <c r="J22" s="948"/>
      <c r="K22" s="948"/>
      <c r="L22" s="948">
        <f t="shared" ref="L22:L32" si="2">(-I22+E22)*-1</f>
        <v>0</v>
      </c>
    </row>
    <row r="23" spans="1:12" ht="15.75">
      <c r="A23" s="173"/>
      <c r="B23" s="924" t="s">
        <v>570</v>
      </c>
      <c r="C23" s="924" t="str">
        <f t="shared" ref="C23:C32" si="3">C22</f>
        <v>Year 2018</v>
      </c>
      <c r="D23" s="924"/>
      <c r="E23" s="948">
        <f t="shared" ref="E23:E32" si="4">+E22</f>
        <v>0</v>
      </c>
      <c r="F23" s="948"/>
      <c r="G23" s="949">
        <f t="shared" ref="G23:G32" si="5">+G22</f>
        <v>4.0949999999999997E-3</v>
      </c>
      <c r="H23" s="1312">
        <f t="shared" si="0"/>
        <v>10</v>
      </c>
      <c r="I23" s="948">
        <f t="shared" si="1"/>
        <v>0</v>
      </c>
      <c r="J23" s="948"/>
      <c r="K23" s="948"/>
      <c r="L23" s="948">
        <f t="shared" si="2"/>
        <v>0</v>
      </c>
    </row>
    <row r="24" spans="1:12" ht="15.75">
      <c r="A24" s="173"/>
      <c r="B24" s="924" t="s">
        <v>571</v>
      </c>
      <c r="C24" s="924" t="str">
        <f t="shared" si="3"/>
        <v>Year 2018</v>
      </c>
      <c r="D24" s="924"/>
      <c r="E24" s="948">
        <f t="shared" si="4"/>
        <v>0</v>
      </c>
      <c r="F24" s="948"/>
      <c r="G24" s="949">
        <f t="shared" si="5"/>
        <v>4.0949999999999997E-3</v>
      </c>
      <c r="H24" s="1312">
        <f t="shared" si="0"/>
        <v>9</v>
      </c>
      <c r="I24" s="948">
        <f t="shared" si="1"/>
        <v>0</v>
      </c>
      <c r="J24" s="948"/>
      <c r="K24" s="948"/>
      <c r="L24" s="948">
        <f t="shared" si="2"/>
        <v>0</v>
      </c>
    </row>
    <row r="25" spans="1:12" ht="15.75">
      <c r="A25" s="173"/>
      <c r="B25" s="924" t="s">
        <v>572</v>
      </c>
      <c r="C25" s="924" t="str">
        <f t="shared" si="3"/>
        <v>Year 2018</v>
      </c>
      <c r="D25" s="924"/>
      <c r="E25" s="948">
        <f t="shared" si="4"/>
        <v>0</v>
      </c>
      <c r="F25" s="948"/>
      <c r="G25" s="949">
        <f t="shared" si="5"/>
        <v>4.0949999999999997E-3</v>
      </c>
      <c r="H25" s="1312">
        <f t="shared" si="0"/>
        <v>8</v>
      </c>
      <c r="I25" s="948">
        <f t="shared" si="1"/>
        <v>0</v>
      </c>
      <c r="J25" s="948"/>
      <c r="K25" s="948"/>
      <c r="L25" s="948">
        <f t="shared" si="2"/>
        <v>0</v>
      </c>
    </row>
    <row r="26" spans="1:12" ht="15.75">
      <c r="A26" s="173"/>
      <c r="B26" s="924" t="s">
        <v>573</v>
      </c>
      <c r="C26" s="924" t="str">
        <f t="shared" si="3"/>
        <v>Year 2018</v>
      </c>
      <c r="D26" s="924"/>
      <c r="E26" s="948">
        <f t="shared" si="4"/>
        <v>0</v>
      </c>
      <c r="F26" s="948"/>
      <c r="G26" s="949">
        <f t="shared" si="5"/>
        <v>4.0949999999999997E-3</v>
      </c>
      <c r="H26" s="1312">
        <f t="shared" si="0"/>
        <v>7</v>
      </c>
      <c r="I26" s="948">
        <f t="shared" si="1"/>
        <v>0</v>
      </c>
      <c r="J26" s="948"/>
      <c r="K26" s="948"/>
      <c r="L26" s="948">
        <f t="shared" si="2"/>
        <v>0</v>
      </c>
    </row>
    <row r="27" spans="1:12" ht="15.75">
      <c r="A27" s="173"/>
      <c r="B27" s="924" t="s">
        <v>574</v>
      </c>
      <c r="C27" s="924" t="str">
        <f t="shared" si="3"/>
        <v>Year 2018</v>
      </c>
      <c r="D27" s="924"/>
      <c r="E27" s="948">
        <f t="shared" si="4"/>
        <v>0</v>
      </c>
      <c r="F27" s="948"/>
      <c r="G27" s="949">
        <f t="shared" si="5"/>
        <v>4.0949999999999997E-3</v>
      </c>
      <c r="H27" s="1312">
        <f t="shared" si="0"/>
        <v>6</v>
      </c>
      <c r="I27" s="948">
        <f t="shared" si="1"/>
        <v>0</v>
      </c>
      <c r="J27" s="948"/>
      <c r="K27" s="948"/>
      <c r="L27" s="948">
        <f t="shared" si="2"/>
        <v>0</v>
      </c>
    </row>
    <row r="28" spans="1:12" ht="15.75">
      <c r="A28" s="173"/>
      <c r="B28" s="924" t="s">
        <v>575</v>
      </c>
      <c r="C28" s="924" t="str">
        <f t="shared" si="3"/>
        <v>Year 2018</v>
      </c>
      <c r="D28" s="924"/>
      <c r="E28" s="948">
        <f t="shared" si="4"/>
        <v>0</v>
      </c>
      <c r="F28" s="948"/>
      <c r="G28" s="949">
        <f t="shared" si="5"/>
        <v>4.0949999999999997E-3</v>
      </c>
      <c r="H28" s="1312">
        <f t="shared" si="0"/>
        <v>5</v>
      </c>
      <c r="I28" s="948">
        <f t="shared" si="1"/>
        <v>0</v>
      </c>
      <c r="J28" s="948"/>
      <c r="K28" s="948"/>
      <c r="L28" s="948">
        <f t="shared" si="2"/>
        <v>0</v>
      </c>
    </row>
    <row r="29" spans="1:12" ht="15.75">
      <c r="A29" s="173"/>
      <c r="B29" s="924" t="s">
        <v>576</v>
      </c>
      <c r="C29" s="924" t="str">
        <f t="shared" si="3"/>
        <v>Year 2018</v>
      </c>
      <c r="D29" s="924"/>
      <c r="E29" s="948">
        <f t="shared" si="4"/>
        <v>0</v>
      </c>
      <c r="F29" s="948"/>
      <c r="G29" s="949">
        <f t="shared" si="5"/>
        <v>4.0949999999999997E-3</v>
      </c>
      <c r="H29" s="1312">
        <f t="shared" si="0"/>
        <v>4</v>
      </c>
      <c r="I29" s="948">
        <f t="shared" si="1"/>
        <v>0</v>
      </c>
      <c r="J29" s="948"/>
      <c r="K29" s="948"/>
      <c r="L29" s="948">
        <f t="shared" si="2"/>
        <v>0</v>
      </c>
    </row>
    <row r="30" spans="1:12" ht="15.75">
      <c r="A30" s="173"/>
      <c r="B30" s="924" t="s">
        <v>577</v>
      </c>
      <c r="C30" s="924" t="str">
        <f t="shared" si="3"/>
        <v>Year 2018</v>
      </c>
      <c r="D30" s="924"/>
      <c r="E30" s="948">
        <f t="shared" si="4"/>
        <v>0</v>
      </c>
      <c r="F30" s="948"/>
      <c r="G30" s="949">
        <f t="shared" si="5"/>
        <v>4.0949999999999997E-3</v>
      </c>
      <c r="H30" s="1312">
        <f t="shared" si="0"/>
        <v>3</v>
      </c>
      <c r="I30" s="948">
        <f t="shared" si="1"/>
        <v>0</v>
      </c>
      <c r="J30" s="948"/>
      <c r="K30" s="948"/>
      <c r="L30" s="948">
        <f t="shared" si="2"/>
        <v>0</v>
      </c>
    </row>
    <row r="31" spans="1:12" ht="15.75">
      <c r="A31" s="173"/>
      <c r="B31" s="924" t="s">
        <v>578</v>
      </c>
      <c r="C31" s="924" t="str">
        <f t="shared" si="3"/>
        <v>Year 2018</v>
      </c>
      <c r="D31" s="924"/>
      <c r="E31" s="948">
        <f t="shared" si="4"/>
        <v>0</v>
      </c>
      <c r="F31" s="948"/>
      <c r="G31" s="949">
        <f t="shared" si="5"/>
        <v>4.0949999999999997E-3</v>
      </c>
      <c r="H31" s="1312">
        <f t="shared" si="0"/>
        <v>2</v>
      </c>
      <c r="I31" s="948">
        <f t="shared" si="1"/>
        <v>0</v>
      </c>
      <c r="J31" s="948"/>
      <c r="K31" s="948"/>
      <c r="L31" s="948">
        <f t="shared" si="2"/>
        <v>0</v>
      </c>
    </row>
    <row r="32" spans="1:12" ht="15.75">
      <c r="A32" s="173"/>
      <c r="B32" s="924" t="s">
        <v>579</v>
      </c>
      <c r="C32" s="924" t="str">
        <f t="shared" si="3"/>
        <v>Year 2018</v>
      </c>
      <c r="D32" s="924"/>
      <c r="E32" s="948">
        <f t="shared" si="4"/>
        <v>0</v>
      </c>
      <c r="F32" s="948"/>
      <c r="G32" s="949">
        <f t="shared" si="5"/>
        <v>4.0949999999999997E-3</v>
      </c>
      <c r="H32" s="1312">
        <f t="shared" si="0"/>
        <v>1</v>
      </c>
      <c r="I32" s="950">
        <f t="shared" si="1"/>
        <v>0</v>
      </c>
      <c r="J32" s="948"/>
      <c r="K32" s="948"/>
      <c r="L32" s="948">
        <f t="shared" si="2"/>
        <v>0</v>
      </c>
    </row>
    <row r="33" spans="1:12" ht="15.75">
      <c r="A33" s="173"/>
      <c r="B33" s="924"/>
      <c r="C33" s="924"/>
      <c r="D33" s="924"/>
      <c r="E33" s="948"/>
      <c r="F33" s="948"/>
      <c r="G33" s="949"/>
      <c r="H33" s="935"/>
      <c r="I33" s="948">
        <f>SUM(I21:I32)</f>
        <v>0</v>
      </c>
      <c r="J33" s="948"/>
      <c r="K33" s="948"/>
      <c r="L33" s="951">
        <f>SUM(L21:L32)</f>
        <v>0</v>
      </c>
    </row>
    <row r="34" spans="1:12" ht="15.75">
      <c r="A34" s="173"/>
      <c r="B34" s="924"/>
      <c r="C34" s="924"/>
      <c r="D34" s="924"/>
      <c r="E34" s="948"/>
      <c r="F34" s="948"/>
      <c r="G34" s="949"/>
      <c r="H34" s="935"/>
      <c r="I34" s="948"/>
      <c r="J34" s="948" t="s">
        <v>408</v>
      </c>
      <c r="K34" s="948"/>
      <c r="L34" s="394"/>
    </row>
    <row r="35" spans="1:12" ht="15.75">
      <c r="A35" s="173"/>
      <c r="B35" s="924"/>
      <c r="C35" s="924"/>
      <c r="D35" s="924"/>
      <c r="E35" s="934"/>
      <c r="F35" s="934"/>
      <c r="G35" s="949"/>
      <c r="H35" s="935"/>
      <c r="I35" s="952" t="s">
        <v>580</v>
      </c>
      <c r="J35" s="948"/>
      <c r="K35" s="948"/>
      <c r="L35" s="948"/>
    </row>
    <row r="36" spans="1:12" ht="15.75">
      <c r="A36" s="173"/>
      <c r="B36" s="924" t="s">
        <v>581</v>
      </c>
      <c r="C36" s="924" t="str">
        <f>"Year 2019"</f>
        <v>Year 2019</v>
      </c>
      <c r="D36" s="924"/>
      <c r="E36" s="934">
        <f>L33</f>
        <v>0</v>
      </c>
      <c r="F36" s="934"/>
      <c r="G36" s="949">
        <f>+G32</f>
        <v>4.0949999999999997E-3</v>
      </c>
      <c r="H36" s="1312">
        <v>12</v>
      </c>
      <c r="I36" s="948">
        <f>+H36*G36*E36</f>
        <v>0</v>
      </c>
      <c r="J36" s="948"/>
      <c r="K36" s="948"/>
      <c r="L36" s="951">
        <f>+E36+I36</f>
        <v>0</v>
      </c>
    </row>
    <row r="37" spans="1:12" ht="15.75">
      <c r="A37" s="173"/>
      <c r="B37" s="924"/>
      <c r="C37" s="924"/>
      <c r="D37" s="924"/>
      <c r="E37" s="934"/>
      <c r="F37" s="934"/>
      <c r="G37" s="949"/>
      <c r="H37" s="924"/>
      <c r="I37" s="948"/>
      <c r="J37" s="948"/>
      <c r="K37" s="948"/>
      <c r="L37" s="948"/>
    </row>
    <row r="38" spans="1:12" ht="15.75">
      <c r="A38" s="173"/>
      <c r="B38" s="953" t="s">
        <v>582</v>
      </c>
      <c r="C38" s="924"/>
      <c r="D38" s="924"/>
      <c r="E38" s="948"/>
      <c r="F38" s="948"/>
      <c r="G38" s="949"/>
      <c r="H38" s="924"/>
      <c r="I38" s="952" t="s">
        <v>567</v>
      </c>
      <c r="J38" s="948"/>
      <c r="K38" s="948"/>
      <c r="L38" s="948"/>
    </row>
    <row r="39" spans="1:12" ht="15.75">
      <c r="A39" s="173"/>
      <c r="B39" s="924" t="s">
        <v>568</v>
      </c>
      <c r="C39" s="924" t="str">
        <f>"Year 2020"</f>
        <v>Year 2020</v>
      </c>
      <c r="D39" s="924"/>
      <c r="E39" s="954">
        <f>-L36</f>
        <v>0</v>
      </c>
      <c r="F39" s="934"/>
      <c r="G39" s="949">
        <f>+G32</f>
        <v>4.0949999999999997E-3</v>
      </c>
      <c r="H39" s="924"/>
      <c r="I39" s="948">
        <f xml:space="preserve"> -G39*E39</f>
        <v>0</v>
      </c>
      <c r="J39" s="948">
        <f>PMT(G39,12,L$36)</f>
        <v>0</v>
      </c>
      <c r="K39" s="948"/>
      <c r="L39" s="948">
        <f>(+E39+E39*G39-J39)*-1</f>
        <v>0</v>
      </c>
    </row>
    <row r="40" spans="1:12" ht="15.75">
      <c r="A40" s="173"/>
      <c r="B40" s="924" t="s">
        <v>569</v>
      </c>
      <c r="C40" s="924" t="str">
        <f>+C39</f>
        <v>Year 2020</v>
      </c>
      <c r="D40" s="924"/>
      <c r="E40" s="934">
        <f>-L39</f>
        <v>0</v>
      </c>
      <c r="F40" s="934"/>
      <c r="G40" s="949">
        <f>+G39</f>
        <v>4.0949999999999997E-3</v>
      </c>
      <c r="H40" s="924"/>
      <c r="I40" s="948">
        <f xml:space="preserve"> -G40*E40</f>
        <v>0</v>
      </c>
      <c r="J40" s="948">
        <f>J39</f>
        <v>0</v>
      </c>
      <c r="K40" s="948"/>
      <c r="L40" s="948">
        <f t="shared" ref="L40:L50" si="6">(+E40+E40*G40-J40)*-1</f>
        <v>0</v>
      </c>
    </row>
    <row r="41" spans="1:12" ht="15.75">
      <c r="A41" s="173"/>
      <c r="B41" s="924" t="s">
        <v>570</v>
      </c>
      <c r="C41" s="924" t="str">
        <f>+C40</f>
        <v>Year 2020</v>
      </c>
      <c r="D41" s="924"/>
      <c r="E41" s="934">
        <f t="shared" ref="E41:E50" si="7">-L40</f>
        <v>0</v>
      </c>
      <c r="F41" s="934"/>
      <c r="G41" s="949">
        <f t="shared" ref="G41:G50" si="8">+G40</f>
        <v>4.0949999999999997E-3</v>
      </c>
      <c r="H41" s="924"/>
      <c r="I41" s="948">
        <f t="shared" ref="I41:I50" si="9" xml:space="preserve"> -G41*E41</f>
        <v>0</v>
      </c>
      <c r="J41" s="948">
        <f t="shared" ref="J41:J50" si="10">J40</f>
        <v>0</v>
      </c>
      <c r="K41" s="948"/>
      <c r="L41" s="948">
        <f t="shared" si="6"/>
        <v>0</v>
      </c>
    </row>
    <row r="42" spans="1:12" ht="15.75">
      <c r="A42" s="173"/>
      <c r="B42" s="924" t="s">
        <v>571</v>
      </c>
      <c r="C42" s="924" t="str">
        <f>+C41</f>
        <v>Year 2020</v>
      </c>
      <c r="D42" s="924"/>
      <c r="E42" s="934">
        <f t="shared" si="7"/>
        <v>0</v>
      </c>
      <c r="F42" s="934"/>
      <c r="G42" s="949">
        <f t="shared" si="8"/>
        <v>4.0949999999999997E-3</v>
      </c>
      <c r="H42" s="924"/>
      <c r="I42" s="948">
        <f t="shared" si="9"/>
        <v>0</v>
      </c>
      <c r="J42" s="948">
        <f t="shared" si="10"/>
        <v>0</v>
      </c>
      <c r="K42" s="948"/>
      <c r="L42" s="948">
        <f t="shared" si="6"/>
        <v>0</v>
      </c>
    </row>
    <row r="43" spans="1:12" ht="15.75">
      <c r="A43" s="173"/>
      <c r="B43" s="924" t="s">
        <v>572</v>
      </c>
      <c r="C43" s="924" t="str">
        <f>+C42</f>
        <v>Year 2020</v>
      </c>
      <c r="D43" s="924"/>
      <c r="E43" s="934">
        <f t="shared" si="7"/>
        <v>0</v>
      </c>
      <c r="F43" s="934"/>
      <c r="G43" s="949">
        <f t="shared" si="8"/>
        <v>4.0949999999999997E-3</v>
      </c>
      <c r="H43" s="924"/>
      <c r="I43" s="948">
        <f t="shared" si="9"/>
        <v>0</v>
      </c>
      <c r="J43" s="948">
        <f>J42</f>
        <v>0</v>
      </c>
      <c r="K43" s="948"/>
      <c r="L43" s="948">
        <f t="shared" si="6"/>
        <v>0</v>
      </c>
    </row>
    <row r="44" spans="1:12" ht="15.75">
      <c r="A44" s="173"/>
      <c r="B44" s="924" t="s">
        <v>573</v>
      </c>
      <c r="C44" s="924" t="str">
        <f>C43</f>
        <v>Year 2020</v>
      </c>
      <c r="D44" s="394"/>
      <c r="E44" s="934">
        <f t="shared" si="7"/>
        <v>0</v>
      </c>
      <c r="F44" s="934"/>
      <c r="G44" s="949">
        <f t="shared" si="8"/>
        <v>4.0949999999999997E-3</v>
      </c>
      <c r="H44" s="924"/>
      <c r="I44" s="948">
        <f t="shared" si="9"/>
        <v>0</v>
      </c>
      <c r="J44" s="948">
        <f t="shared" si="10"/>
        <v>0</v>
      </c>
      <c r="K44" s="948"/>
      <c r="L44" s="948">
        <f t="shared" si="6"/>
        <v>0</v>
      </c>
    </row>
    <row r="45" spans="1:12" ht="15.75">
      <c r="A45" s="173"/>
      <c r="B45" s="924" t="s">
        <v>574</v>
      </c>
      <c r="C45" s="924" t="str">
        <f t="shared" ref="C45:C50" si="11">+C44</f>
        <v>Year 2020</v>
      </c>
      <c r="D45" s="924"/>
      <c r="E45" s="934">
        <f t="shared" si="7"/>
        <v>0</v>
      </c>
      <c r="F45" s="934"/>
      <c r="G45" s="949">
        <f t="shared" si="8"/>
        <v>4.0949999999999997E-3</v>
      </c>
      <c r="H45" s="924"/>
      <c r="I45" s="948">
        <f t="shared" si="9"/>
        <v>0</v>
      </c>
      <c r="J45" s="948">
        <f t="shared" si="10"/>
        <v>0</v>
      </c>
      <c r="K45" s="948"/>
      <c r="L45" s="948">
        <f t="shared" si="6"/>
        <v>0</v>
      </c>
    </row>
    <row r="46" spans="1:12" ht="15.75">
      <c r="A46" s="173"/>
      <c r="B46" s="924" t="s">
        <v>575</v>
      </c>
      <c r="C46" s="924" t="str">
        <f t="shared" si="11"/>
        <v>Year 2020</v>
      </c>
      <c r="D46" s="924"/>
      <c r="E46" s="934">
        <f t="shared" si="7"/>
        <v>0</v>
      </c>
      <c r="F46" s="934"/>
      <c r="G46" s="949">
        <f t="shared" si="8"/>
        <v>4.0949999999999997E-3</v>
      </c>
      <c r="H46" s="924"/>
      <c r="I46" s="948">
        <f t="shared" si="9"/>
        <v>0</v>
      </c>
      <c r="J46" s="948">
        <f t="shared" si="10"/>
        <v>0</v>
      </c>
      <c r="K46" s="948"/>
      <c r="L46" s="948">
        <f t="shared" si="6"/>
        <v>0</v>
      </c>
    </row>
    <row r="47" spans="1:12" ht="15.75">
      <c r="A47" s="173"/>
      <c r="B47" s="924" t="s">
        <v>576</v>
      </c>
      <c r="C47" s="924" t="str">
        <f t="shared" si="11"/>
        <v>Year 2020</v>
      </c>
      <c r="D47" s="924"/>
      <c r="E47" s="934">
        <f t="shared" si="7"/>
        <v>0</v>
      </c>
      <c r="F47" s="934"/>
      <c r="G47" s="949">
        <f t="shared" si="8"/>
        <v>4.0949999999999997E-3</v>
      </c>
      <c r="H47" s="924"/>
      <c r="I47" s="948">
        <f t="shared" si="9"/>
        <v>0</v>
      </c>
      <c r="J47" s="948">
        <f>J46</f>
        <v>0</v>
      </c>
      <c r="K47" s="948"/>
      <c r="L47" s="948">
        <f t="shared" si="6"/>
        <v>0</v>
      </c>
    </row>
    <row r="48" spans="1:12" ht="15.75">
      <c r="A48" s="173"/>
      <c r="B48" s="924" t="s">
        <v>577</v>
      </c>
      <c r="C48" s="924" t="str">
        <f t="shared" si="11"/>
        <v>Year 2020</v>
      </c>
      <c r="D48" s="924"/>
      <c r="E48" s="934">
        <f t="shared" si="7"/>
        <v>0</v>
      </c>
      <c r="F48" s="934"/>
      <c r="G48" s="949">
        <f t="shared" si="8"/>
        <v>4.0949999999999997E-3</v>
      </c>
      <c r="H48" s="924"/>
      <c r="I48" s="948">
        <f t="shared" si="9"/>
        <v>0</v>
      </c>
      <c r="J48" s="948">
        <f t="shared" si="10"/>
        <v>0</v>
      </c>
      <c r="K48" s="948"/>
      <c r="L48" s="948">
        <f t="shared" si="6"/>
        <v>0</v>
      </c>
    </row>
    <row r="49" spans="1:12" ht="15.75">
      <c r="A49" s="173"/>
      <c r="B49" s="924" t="s">
        <v>578</v>
      </c>
      <c r="C49" s="924" t="str">
        <f t="shared" si="11"/>
        <v>Year 2020</v>
      </c>
      <c r="D49" s="924"/>
      <c r="E49" s="934">
        <f t="shared" si="7"/>
        <v>0</v>
      </c>
      <c r="F49" s="934"/>
      <c r="G49" s="949">
        <f t="shared" si="8"/>
        <v>4.0949999999999997E-3</v>
      </c>
      <c r="H49" s="924"/>
      <c r="I49" s="948">
        <f t="shared" si="9"/>
        <v>0</v>
      </c>
      <c r="J49" s="948">
        <f t="shared" si="10"/>
        <v>0</v>
      </c>
      <c r="K49" s="948"/>
      <c r="L49" s="948">
        <f t="shared" si="6"/>
        <v>0</v>
      </c>
    </row>
    <row r="50" spans="1:12" ht="15.75">
      <c r="A50" s="173"/>
      <c r="B50" s="924" t="s">
        <v>579</v>
      </c>
      <c r="C50" s="924" t="str">
        <f t="shared" si="11"/>
        <v>Year 2020</v>
      </c>
      <c r="D50" s="924"/>
      <c r="E50" s="934">
        <f t="shared" si="7"/>
        <v>0</v>
      </c>
      <c r="F50" s="934"/>
      <c r="G50" s="949">
        <f t="shared" si="8"/>
        <v>4.0949999999999997E-3</v>
      </c>
      <c r="H50" s="924"/>
      <c r="I50" s="950">
        <f t="shared" si="9"/>
        <v>0</v>
      </c>
      <c r="J50" s="948">
        <f t="shared" si="10"/>
        <v>0</v>
      </c>
      <c r="K50" s="948"/>
      <c r="L50" s="948">
        <f t="shared" si="6"/>
        <v>0</v>
      </c>
    </row>
    <row r="51" spans="1:12" ht="15.75">
      <c r="A51" s="173"/>
      <c r="B51" s="924"/>
      <c r="C51" s="924"/>
      <c r="D51" s="924"/>
      <c r="E51" s="934"/>
      <c r="F51" s="934"/>
      <c r="G51" s="949"/>
      <c r="H51" s="924"/>
      <c r="I51" s="948">
        <f>SUM(I39:I50)</f>
        <v>0</v>
      </c>
      <c r="J51" s="948"/>
      <c r="K51" s="948"/>
      <c r="L51" s="948"/>
    </row>
    <row r="52" spans="1:12" ht="15">
      <c r="A52" s="173"/>
      <c r="B52" s="394"/>
      <c r="C52" s="394"/>
      <c r="D52" s="394"/>
      <c r="E52" s="394"/>
      <c r="F52" s="394"/>
      <c r="G52" s="394"/>
      <c r="H52" s="394"/>
      <c r="I52" s="394"/>
      <c r="J52" s="955"/>
      <c r="K52" s="394"/>
      <c r="L52" s="394"/>
    </row>
    <row r="53" spans="1:12" ht="15.75">
      <c r="A53" s="173"/>
      <c r="B53" s="924" t="s">
        <v>583</v>
      </c>
      <c r="C53" s="394"/>
      <c r="D53" s="394"/>
      <c r="E53" s="394"/>
      <c r="F53" s="394"/>
      <c r="G53" s="394"/>
      <c r="H53" s="394"/>
      <c r="I53" s="394"/>
      <c r="J53" s="956">
        <f>(SUM(J39:J50)*-1)</f>
        <v>0</v>
      </c>
      <c r="K53" s="394"/>
      <c r="L53" s="394"/>
    </row>
    <row r="54" spans="1:12" ht="15.75">
      <c r="A54" s="173"/>
      <c r="B54" s="924" t="s">
        <v>584</v>
      </c>
      <c r="C54" s="394"/>
      <c r="D54" s="394"/>
      <c r="E54" s="394"/>
      <c r="F54" s="394"/>
      <c r="G54" s="394"/>
      <c r="H54" s="394"/>
      <c r="I54" s="394"/>
      <c r="J54" s="957">
        <f>+I10</f>
        <v>0</v>
      </c>
      <c r="K54" s="394"/>
      <c r="L54" s="394"/>
    </row>
    <row r="55" spans="1:12" ht="15.75">
      <c r="A55" s="173"/>
      <c r="B55" s="924" t="s">
        <v>585</v>
      </c>
      <c r="C55" s="394"/>
      <c r="D55" s="394"/>
      <c r="E55" s="394"/>
      <c r="F55" s="394"/>
      <c r="G55" s="394"/>
      <c r="H55" s="394"/>
      <c r="I55" s="394"/>
      <c r="J55" s="956">
        <f>(J53+J54)</f>
        <v>0</v>
      </c>
      <c r="K55" s="394"/>
      <c r="L55" s="394"/>
    </row>
    <row r="56" spans="1:12">
      <c r="A56" s="173"/>
      <c r="B56" s="393"/>
      <c r="C56" s="393"/>
      <c r="D56" s="393"/>
      <c r="E56" s="393"/>
      <c r="F56" s="393"/>
      <c r="G56" s="393"/>
      <c r="H56" s="393"/>
      <c r="I56" s="393"/>
      <c r="J56" s="393"/>
      <c r="K56" s="393"/>
      <c r="L56" s="393"/>
    </row>
    <row r="57" spans="1:12" ht="63.75" customHeight="1">
      <c r="A57" s="173"/>
      <c r="B57" s="1610" t="s">
        <v>586</v>
      </c>
      <c r="C57" s="1610"/>
      <c r="D57" s="1610"/>
      <c r="E57" s="1610"/>
      <c r="F57" s="1610"/>
      <c r="G57" s="1610"/>
      <c r="H57" s="1610"/>
      <c r="I57" s="1610"/>
      <c r="J57" s="1610"/>
      <c r="K57" s="1610"/>
      <c r="L57" s="1610"/>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7" zoomScale="75" zoomScaleNormal="75" workbookViewId="0">
      <selection activeCell="G25" sqref="G2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8" t="s">
        <v>408</v>
      </c>
    </row>
    <row r="2" spans="1:12" ht="15.75">
      <c r="A2" s="1008" t="s">
        <v>408</v>
      </c>
    </row>
    <row r="3" spans="1:12" ht="15">
      <c r="A3" s="1518" t="str">
        <f>TCOS!$F$5</f>
        <v>AEPTCo subsidiaries in PJM</v>
      </c>
      <c r="B3" s="1518" t="str">
        <f>TCOS!$F$5</f>
        <v>AEPTCo subsidiaries in PJM</v>
      </c>
      <c r="C3" s="1518" t="str">
        <f>TCOS!$F$5</f>
        <v>AEPTCo subsidiaries in PJM</v>
      </c>
      <c r="D3" s="1518" t="str">
        <f>TCOS!$F$5</f>
        <v>AEPTCo subsidiaries in PJM</v>
      </c>
      <c r="E3" s="1518" t="str">
        <f>TCOS!$F$5</f>
        <v>AEPTCo subsidiaries in PJM</v>
      </c>
      <c r="F3" s="1518" t="str">
        <f>TCOS!$F$5</f>
        <v>AEPTCo subsidiaries in PJM</v>
      </c>
      <c r="G3" s="1518" t="str">
        <f>TCOS!$F$5</f>
        <v>AEPTCo subsidiaries in PJM</v>
      </c>
      <c r="H3" s="1518" t="str">
        <f>TCOS!$F$5</f>
        <v>AEPTCo subsidiaries in PJM</v>
      </c>
      <c r="I3" s="1518" t="str">
        <f>TCOS!$F$5</f>
        <v>AEPTCo subsidiaries in PJM</v>
      </c>
      <c r="J3" s="21"/>
    </row>
    <row r="4" spans="1:12" ht="15">
      <c r="A4" s="1511" t="str">
        <f>"Cost of Service Formula Rate Using Actual/Projected FF1 Balances"</f>
        <v>Cost of Service Formula Rate Using Actual/Projected FF1 Balances</v>
      </c>
      <c r="B4" s="1511"/>
      <c r="C4" s="1511"/>
      <c r="D4" s="1511"/>
      <c r="E4" s="1511"/>
      <c r="F4" s="1511"/>
      <c r="G4" s="1511"/>
      <c r="H4" s="1511"/>
      <c r="I4" s="1511"/>
      <c r="J4" s="53"/>
    </row>
    <row r="5" spans="1:12" ht="15">
      <c r="A5" s="1511" t="s">
        <v>262</v>
      </c>
      <c r="B5" s="1511"/>
      <c r="C5" s="1511"/>
      <c r="D5" s="1511"/>
      <c r="E5" s="1511"/>
      <c r="F5" s="1511"/>
      <c r="G5" s="1511"/>
      <c r="H5" s="1511"/>
      <c r="I5" s="1511"/>
      <c r="J5" s="52"/>
    </row>
    <row r="6" spans="1:12" ht="15">
      <c r="A6" s="1521" t="str">
        <f>TCOS!F9</f>
        <v>West Virginia Transmission Company</v>
      </c>
      <c r="B6" s="1521"/>
      <c r="C6" s="1521"/>
      <c r="D6" s="1521"/>
      <c r="E6" s="1521"/>
      <c r="F6" s="1521"/>
      <c r="G6" s="1521"/>
      <c r="H6" s="1521"/>
      <c r="I6" s="1521"/>
      <c r="J6" s="3"/>
    </row>
    <row r="7" spans="1:12">
      <c r="C7" s="17"/>
      <c r="D7" s="17"/>
    </row>
    <row r="8" spans="1:12" ht="15">
      <c r="A8" s="978"/>
      <c r="B8" s="989"/>
      <c r="C8" s="993" t="s">
        <v>454</v>
      </c>
      <c r="D8" s="993" t="s">
        <v>455</v>
      </c>
      <c r="E8" s="993" t="s">
        <v>456</v>
      </c>
      <c r="F8" s="978"/>
      <c r="G8" s="993" t="s">
        <v>457</v>
      </c>
      <c r="H8" s="978"/>
      <c r="I8" s="993" t="s">
        <v>377</v>
      </c>
      <c r="J8" s="5"/>
      <c r="K8"/>
      <c r="L8"/>
    </row>
    <row r="9" spans="1:12" ht="15">
      <c r="A9" s="977"/>
      <c r="B9" s="989"/>
      <c r="C9" s="978"/>
      <c r="D9" s="978"/>
      <c r="E9" s="978"/>
      <c r="F9" s="978"/>
      <c r="G9" s="978"/>
      <c r="H9" s="978"/>
      <c r="I9" s="994"/>
      <c r="J9"/>
      <c r="K9"/>
      <c r="L9"/>
    </row>
    <row r="10" spans="1:12" ht="12.75" customHeight="1">
      <c r="A10" s="992" t="s">
        <v>461</v>
      </c>
      <c r="B10" s="989"/>
      <c r="C10" s="995"/>
      <c r="D10" s="995"/>
      <c r="E10" s="1519" t="str">
        <f>"Balance @    December 31, "&amp;TCOS!L4&amp;""</f>
        <v>Balance @    December 31, 2022</v>
      </c>
      <c r="F10" s="996"/>
      <c r="G10" s="1519" t="str">
        <f>"Balance @     December 31, "&amp;TCOS!L4-1&amp;""</f>
        <v>Balance @     December 31, 2021</v>
      </c>
      <c r="H10" s="996"/>
      <c r="I10" s="1522" t="str">
        <f>"Average Balance for "&amp;TCOS!L4&amp;""</f>
        <v>Average Balance for 2022</v>
      </c>
      <c r="J10"/>
      <c r="K10"/>
      <c r="L10"/>
    </row>
    <row r="11" spans="1:12" ht="15">
      <c r="A11" s="999" t="s">
        <v>399</v>
      </c>
      <c r="B11" s="997"/>
      <c r="C11" s="992" t="s">
        <v>459</v>
      </c>
      <c r="D11" s="992" t="s">
        <v>490</v>
      </c>
      <c r="E11" s="1520"/>
      <c r="F11" s="998"/>
      <c r="G11" s="1520"/>
      <c r="H11" s="998"/>
      <c r="I11" s="1520"/>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2"/>
      <c r="H16"/>
    </row>
    <row r="17" spans="1:9" ht="14.25">
      <c r="A17" s="51">
        <f>+A15+1</f>
        <v>2</v>
      </c>
      <c r="C17" s="986" t="s">
        <v>301</v>
      </c>
      <c r="D17" s="990" t="s">
        <v>303</v>
      </c>
      <c r="E17" s="976">
        <f>SUM('WS B-1 - Actual Stmt. AF'!Q23:S23)</f>
        <v>0</v>
      </c>
      <c r="F17" s="981"/>
      <c r="G17" s="976">
        <f>SUM('WS B-1 - Actual Stmt. AF'!M23:O23)</f>
        <v>0</v>
      </c>
      <c r="H17" s="982"/>
      <c r="I17" s="983">
        <f>IF(G17="",0,(E17+G17)/2)</f>
        <v>0</v>
      </c>
    </row>
    <row r="18" spans="1:9" ht="14.25">
      <c r="A18" s="51">
        <f>+A17+1</f>
        <v>3</v>
      </c>
      <c r="C18" s="986" t="s">
        <v>305</v>
      </c>
      <c r="D18" s="1244" t="str">
        <f>"WS B-1 - Actual Stmt. AF Ln. " &amp;'WS B-1 - Actual Stmt. AF'!A24&amp;" (Note 1)"</f>
        <v>WS B-1 - Actual Stmt. AF Ln. 4 (Note 1)</v>
      </c>
      <c r="E18" s="976">
        <f>SUM('WS B-1 - Actual Stmt. AF'!Q24:S24)</f>
        <v>0</v>
      </c>
      <c r="F18" s="978"/>
      <c r="G18" s="976">
        <f>SUM('WS B-1 - Actual Stmt. AF'!M24:O24)</f>
        <v>0</v>
      </c>
      <c r="H18" s="982"/>
      <c r="I18" s="983">
        <f>IF(G18="",0,(E18+G18)/2)</f>
        <v>0</v>
      </c>
    </row>
    <row r="19" spans="1:9" ht="16.5">
      <c r="A19" s="51">
        <f>+A18+1</f>
        <v>4</v>
      </c>
      <c r="C19" s="986" t="s">
        <v>306</v>
      </c>
      <c r="D19" s="1244" t="str">
        <f>"WS B-1 - Actual Stmt. AF Ln. " &amp;'WS B-1 - Actual Stmt. AF'!A23&amp;" (Note 1)"</f>
        <v>WS B-1 - Actual Stmt. AF Ln. 3 (Note 1)</v>
      </c>
      <c r="E19" s="980">
        <f>('WS B-1 - Actual Stmt. AF'!Q23+'WS B-1 - Actual Stmt. AF'!S23)-('WS B-1 - Actual Stmt. AF'!Q24+'WS B-1 - Actual Stmt. AF'!S24)</f>
        <v>0</v>
      </c>
      <c r="F19" s="978"/>
      <c r="G19" s="980">
        <f>('WS B-1 - Actual Stmt. AF'!M23+'WS B-1 - Actual Stmt. AF'!O23)-('WS B-1 - Actual Stmt. AF'!M24+'WS B-1 - Actual Stmt. AF'!O24)</f>
        <v>0</v>
      </c>
      <c r="H19" s="978"/>
      <c r="I19" s="984">
        <f>IF(G19="",0,(E19+G19)/2)</f>
        <v>0</v>
      </c>
    </row>
    <row r="20" spans="1:9" ht="14.25">
      <c r="A20" s="51">
        <f>+A19+1</f>
        <v>5</v>
      </c>
      <c r="C20" s="986" t="s">
        <v>302</v>
      </c>
      <c r="D20" s="991" t="str">
        <f>"Ln "&amp;A17&amp;" - ln "&amp;A18&amp;" - ln "&amp;A19&amp;""</f>
        <v>Ln 2 - ln 3 - ln 4</v>
      </c>
      <c r="E20" s="985">
        <f>+E17-E18-E19</f>
        <v>0</v>
      </c>
      <c r="F20" s="981"/>
      <c r="G20" s="985">
        <f>+G17-G18-G19</f>
        <v>0</v>
      </c>
      <c r="H20" s="978"/>
      <c r="I20" s="983">
        <f>+I17-I18-I19</f>
        <v>0</v>
      </c>
    </row>
    <row r="21" spans="1:9" ht="14.25">
      <c r="A21" s="51"/>
      <c r="C21" s="42"/>
      <c r="D21" s="986"/>
      <c r="E21" s="978"/>
      <c r="F21" s="978"/>
      <c r="G21" s="978"/>
      <c r="H21" s="978"/>
      <c r="I21" s="978"/>
    </row>
    <row r="22" spans="1:9" ht="14.25">
      <c r="A22" s="51"/>
      <c r="C22" s="42"/>
      <c r="D22" s="986"/>
      <c r="E22" s="978"/>
      <c r="F22" s="978"/>
      <c r="G22" s="978"/>
      <c r="H22" s="978"/>
      <c r="I22" s="978"/>
    </row>
    <row r="23" spans="1:9" ht="15.75">
      <c r="A23" s="51">
        <f>+A20+1</f>
        <v>6</v>
      </c>
      <c r="C23" s="40" t="s">
        <v>296</v>
      </c>
      <c r="D23" s="986"/>
      <c r="E23" s="978"/>
      <c r="F23" s="978"/>
      <c r="G23" s="978"/>
      <c r="H23" s="978"/>
      <c r="I23" s="978"/>
    </row>
    <row r="24" spans="1:9" ht="14.25">
      <c r="A24" s="51"/>
      <c r="C24" s="42"/>
      <c r="D24" s="986"/>
      <c r="E24" s="978"/>
      <c r="F24" s="978"/>
      <c r="G24" s="978"/>
      <c r="H24" s="978"/>
      <c r="I24" s="978"/>
    </row>
    <row r="25" spans="1:9" ht="14.25">
      <c r="A25" s="51">
        <f>+A23+1</f>
        <v>7</v>
      </c>
      <c r="C25" s="986" t="s">
        <v>301</v>
      </c>
      <c r="D25" s="990" t="s">
        <v>229</v>
      </c>
      <c r="E25" s="976">
        <f>SUM('WS B-1 - Actual Stmt. AF'!Q51:S51)-'WS B-1 - Actual Stmt. AF'!D44</f>
        <v>198816109.93000001</v>
      </c>
      <c r="F25" s="981"/>
      <c r="G25" s="976">
        <f>SUM('WS B-1 - Actual Stmt. AF'!M51:O51)-'WS B-1 - Actual Stmt. AF'!C44</f>
        <v>187969259.84999996</v>
      </c>
      <c r="H25" s="982"/>
      <c r="I25" s="983">
        <f>IF(G25="",0,(E25+G25)/2)</f>
        <v>193392684.88999999</v>
      </c>
    </row>
    <row r="26" spans="1:9" ht="14.25">
      <c r="A26" s="51">
        <f>+A25+1</f>
        <v>8</v>
      </c>
      <c r="C26" s="986" t="s">
        <v>305</v>
      </c>
      <c r="D26" s="1244" t="str">
        <f>"WS B-1 - Actual Stmt. AF Ln. " &amp;'WS B-1 - Actual Stmt. AF'!A52&amp;" (Note 1)"</f>
        <v>WS B-1 - Actual Stmt. AF Ln. 7 (Note 1)</v>
      </c>
      <c r="E26" s="976">
        <f>SUM('WS B-1 - Actual Stmt. AF'!Q52:S52)</f>
        <v>0</v>
      </c>
      <c r="F26" s="978"/>
      <c r="G26" s="976">
        <f>SUM('WS B-1 - Actual Stmt. AF'!M52:O52)</f>
        <v>0</v>
      </c>
      <c r="H26" s="982"/>
      <c r="I26" s="983">
        <f>IF(G26="",0,(E26+G26)/2)</f>
        <v>0</v>
      </c>
    </row>
    <row r="27" spans="1:9" ht="16.5">
      <c r="A27" s="51">
        <f>+A26+1</f>
        <v>9</v>
      </c>
      <c r="C27" s="986" t="s">
        <v>306</v>
      </c>
      <c r="D27" s="1244" t="str">
        <f>"WS B-1 - Actual Stmt. AF Ln. " &amp;'WS B-1 - Actual Stmt. AF'!A51&amp;" (Note 1)"</f>
        <v>WS B-1 - Actual Stmt. AF Ln. 6 (Note 1)</v>
      </c>
      <c r="E27" s="980">
        <f>('WS B-1 - Actual Stmt. AF'!Q51+'WS B-1 - Actual Stmt. AF'!S51)-('WS B-1 - Actual Stmt. AF'!Q52+'WS B-1 - Actual Stmt. AF'!S52)-'WS B-1 - Actual Stmt. AF'!D44</f>
        <v>40588281.679835066</v>
      </c>
      <c r="F27" s="978"/>
      <c r="G27" s="980">
        <f>('WS B-1 - Actual Stmt. AF'!M51+'WS B-1 - Actual Stmt. AF'!O51)-('WS B-1 - Actual Stmt. AF'!M52+'WS B-1 - Actual Stmt. AF'!O52)-'WS B-1 - Actual Stmt. AF'!C44</f>
        <v>40643781.761505097</v>
      </c>
      <c r="H27" s="978"/>
      <c r="I27" s="984">
        <f>IF(G27="",0,(E27+G27)/2)</f>
        <v>40616031.720670082</v>
      </c>
    </row>
    <row r="28" spans="1:9" ht="14.25">
      <c r="A28" s="51">
        <f>+A27+1</f>
        <v>10</v>
      </c>
      <c r="C28" s="986" t="s">
        <v>302</v>
      </c>
      <c r="D28" s="991" t="str">
        <f>"Ln "&amp;A25&amp;" - ln "&amp;A26&amp;" - ln "&amp;A27&amp;""</f>
        <v>Ln 7 - ln 8 - ln 9</v>
      </c>
      <c r="E28" s="985">
        <f>+E25-E26-E27</f>
        <v>158227828.25016493</v>
      </c>
      <c r="F28" s="981"/>
      <c r="G28" s="985">
        <f>+G25-G26-G27</f>
        <v>147325478.08849487</v>
      </c>
      <c r="H28" s="978"/>
      <c r="I28" s="983">
        <f>+I25-I26-I27</f>
        <v>152776653.16932991</v>
      </c>
    </row>
    <row r="29" spans="1:9" ht="14.25">
      <c r="A29" s="51"/>
      <c r="C29" s="42"/>
      <c r="D29" s="986"/>
      <c r="E29" s="978"/>
      <c r="F29" s="978"/>
      <c r="G29" s="978"/>
      <c r="H29" s="978"/>
      <c r="I29" s="978"/>
    </row>
    <row r="30" spans="1:9" ht="14.25">
      <c r="A30" s="51"/>
      <c r="C30" s="42"/>
      <c r="D30" s="986"/>
      <c r="E30" s="979"/>
      <c r="F30" s="978"/>
      <c r="G30" s="979"/>
      <c r="H30" s="978"/>
      <c r="I30" s="978"/>
    </row>
    <row r="31" spans="1:9" ht="15.75">
      <c r="A31" s="51">
        <f>+A28+1</f>
        <v>11</v>
      </c>
      <c r="C31" s="40" t="s">
        <v>297</v>
      </c>
      <c r="D31" s="986"/>
      <c r="E31" s="978"/>
      <c r="F31" s="978"/>
      <c r="G31" s="978"/>
      <c r="H31" s="978"/>
      <c r="I31" s="978"/>
    </row>
    <row r="32" spans="1:9" ht="15.75">
      <c r="A32" s="51"/>
      <c r="C32" s="40"/>
      <c r="D32" s="986"/>
      <c r="E32" s="978"/>
      <c r="F32" s="978"/>
      <c r="G32" s="978"/>
      <c r="H32" s="978"/>
      <c r="I32" s="978"/>
    </row>
    <row r="33" spans="1:9" ht="14.25">
      <c r="A33" s="51">
        <f>+A31+1</f>
        <v>12</v>
      </c>
      <c r="C33" s="986" t="s">
        <v>301</v>
      </c>
      <c r="D33" s="990" t="s">
        <v>304</v>
      </c>
      <c r="E33" s="976">
        <f>SUM('WS B-1 - Actual Stmt. AF'!Q78:S78)-'WS B-1 - Actual Stmt. AF'!D62</f>
        <v>51599047.289999999</v>
      </c>
      <c r="F33" s="981"/>
      <c r="G33" s="976">
        <f>SUM('WS B-1 - Actual Stmt. AF'!M78:O78)-'WS B-1 - Actual Stmt. AF'!C62</f>
        <v>47034393.259999998</v>
      </c>
      <c r="H33" s="982"/>
      <c r="I33" s="983">
        <f>IF(G33="",0,(E33+G33)/2)</f>
        <v>49316720.274999999</v>
      </c>
    </row>
    <row r="34" spans="1:9" ht="14.25">
      <c r="A34" s="51">
        <f>+A33+1</f>
        <v>13</v>
      </c>
      <c r="C34" s="986" t="s">
        <v>305</v>
      </c>
      <c r="D34" s="1244" t="str">
        <f>"WS B-1 - Actual Stmt. AF Ln. " &amp;'WS B-1 - Actual Stmt. AF'!A79&amp;" (Note 1)"</f>
        <v>WS B-1 - Actual Stmt. AF Ln. 13 (Note 1)</v>
      </c>
      <c r="E34" s="976">
        <f>SUM('WS B-1 - Actual Stmt. AF'!Q79:S79)</f>
        <v>0</v>
      </c>
      <c r="F34" s="978"/>
      <c r="G34" s="976">
        <f>SUM('WS B-1 - Actual Stmt. AF'!M79:O79)</f>
        <v>0</v>
      </c>
      <c r="H34" s="982"/>
      <c r="I34" s="983">
        <f>IF(G34="",0,(E34+G34)/2)</f>
        <v>0</v>
      </c>
    </row>
    <row r="35" spans="1:9" ht="16.5">
      <c r="A35" s="51">
        <f>+A34+1</f>
        <v>14</v>
      </c>
      <c r="C35" s="986" t="s">
        <v>306</v>
      </c>
      <c r="D35" s="1244" t="str">
        <f>"WS B-1 - Actual Stmt. AF Ln. " &amp;'WS B-1 - Actual Stmt. AF'!A78&amp;" (Note 1)"</f>
        <v>WS B-1 - Actual Stmt. AF Ln. 12 (Note 1)</v>
      </c>
      <c r="E35" s="980">
        <f>('WS B-1 - Actual Stmt. AF'!Q78+'WS B-1 - Actual Stmt. AF'!S78)-('WS B-1 - Actual Stmt. AF'!Q79+'WS B-1 - Actual Stmt. AF'!S79)-'WS B-1 - Actual Stmt. AF'!D62</f>
        <v>0</v>
      </c>
      <c r="F35" s="978"/>
      <c r="G35" s="980">
        <f>('WS B-1 - Actual Stmt. AF'!M78+'WS B-1 - Actual Stmt. AF'!O78)-('WS B-1 - Actual Stmt. AF'!M79+'WS B-1 - Actual Stmt. AF'!O79)-'WS B-1 - Actual Stmt. AF'!C62</f>
        <v>0</v>
      </c>
      <c r="H35" s="978"/>
      <c r="I35" s="984">
        <f>IF(G35="",0,(E35+G35)/2)</f>
        <v>0</v>
      </c>
    </row>
    <row r="36" spans="1:9" ht="14.25">
      <c r="A36" s="51">
        <f>+A35+1</f>
        <v>15</v>
      </c>
      <c r="C36" s="986" t="s">
        <v>302</v>
      </c>
      <c r="D36" s="991" t="str">
        <f>"Ln "&amp;A33&amp;" - ln "&amp;A34&amp;" - ln "&amp;A35&amp;""</f>
        <v>Ln 12 - ln 13 - ln 14</v>
      </c>
      <c r="E36" s="985">
        <f>+E33-E34-E35</f>
        <v>51599047.289999999</v>
      </c>
      <c r="F36" s="981"/>
      <c r="G36" s="985">
        <f>+G33-G34-G35</f>
        <v>47034393.259999998</v>
      </c>
      <c r="H36" s="978"/>
      <c r="I36" s="983">
        <f>+I33-I34-I35</f>
        <v>49316720.274999999</v>
      </c>
    </row>
    <row r="37" spans="1:9" ht="15.75">
      <c r="A37" s="51"/>
      <c r="C37" s="40"/>
      <c r="D37" s="986"/>
      <c r="E37" s="978"/>
      <c r="F37" s="978"/>
      <c r="G37" s="978"/>
      <c r="H37" s="978"/>
      <c r="I37" s="978"/>
    </row>
    <row r="38" spans="1:9" ht="14.25">
      <c r="A38" s="51"/>
      <c r="C38" s="42"/>
      <c r="D38" s="986"/>
      <c r="E38" s="978"/>
      <c r="F38" s="978"/>
      <c r="G38" s="978"/>
      <c r="H38" s="978"/>
      <c r="I38" s="978"/>
    </row>
    <row r="39" spans="1:9" ht="15.75">
      <c r="A39" s="51">
        <f>+A36+1</f>
        <v>16</v>
      </c>
      <c r="C39" s="40" t="s">
        <v>298</v>
      </c>
      <c r="D39" s="986"/>
      <c r="E39" s="978"/>
      <c r="F39" s="978"/>
      <c r="G39" s="978"/>
      <c r="H39" s="978"/>
      <c r="I39" s="978"/>
    </row>
    <row r="40" spans="1:9" ht="14.25">
      <c r="A40" s="51"/>
      <c r="C40" s="42"/>
      <c r="D40" s="986"/>
      <c r="E40" s="978"/>
      <c r="F40" s="978"/>
      <c r="G40" s="978"/>
      <c r="H40" s="978"/>
      <c r="I40" s="978"/>
    </row>
    <row r="41" spans="1:9" ht="14.25">
      <c r="A41" s="51">
        <f>+A39+1</f>
        <v>17</v>
      </c>
      <c r="C41" s="986" t="s">
        <v>301</v>
      </c>
      <c r="D41" s="990" t="s">
        <v>300</v>
      </c>
      <c r="E41" s="976">
        <f>SUM('WS B-2 - Actual Stmt. AG'!Q36:S36)-'WS B-2 - Actual Stmt. AG'!D27</f>
        <v>12193009.810000002</v>
      </c>
      <c r="F41" s="981"/>
      <c r="G41" s="976">
        <f>SUM('WS B-2 - Actual Stmt. AG'!M36:O36)-'WS B-2 - Actual Stmt. AG'!C27</f>
        <v>10299487.609999999</v>
      </c>
      <c r="H41" s="982"/>
      <c r="I41" s="983">
        <f>IF(G41="",0,(E41+G41)/2)</f>
        <v>11246248.710000001</v>
      </c>
    </row>
    <row r="42" spans="1:9" ht="14.25">
      <c r="A42" s="51">
        <f>+A41+1</f>
        <v>18</v>
      </c>
      <c r="C42" s="986" t="s">
        <v>305</v>
      </c>
      <c r="D42" s="1244" t="str">
        <f>"WS B-2 - Actual Stmt. AG Ln. " &amp;'WS B-2 - Actual Stmt. AG'!A37&amp;" (Note 1)"</f>
        <v>WS B-2 - Actual Stmt. AG Ln. 4 (Note 1)</v>
      </c>
      <c r="E42" s="976">
        <f>SUM('WS B-2 - Actual Stmt. AG'!Q37:S37)</f>
        <v>0</v>
      </c>
      <c r="F42" s="978"/>
      <c r="G42" s="976">
        <f>SUM('WS B-2 - Actual Stmt. AG'!M37:O37)</f>
        <v>0</v>
      </c>
      <c r="H42" s="982"/>
      <c r="I42" s="983">
        <f>IF(G42="",0,(E42+G42)/2)</f>
        <v>0</v>
      </c>
    </row>
    <row r="43" spans="1:9" ht="16.5">
      <c r="A43" s="51">
        <f>+A42+1</f>
        <v>19</v>
      </c>
      <c r="C43" s="986" t="s">
        <v>306</v>
      </c>
      <c r="D43" s="1244" t="str">
        <f>"WS B-2 - Actual Stmt. AG Ln. " &amp;'WS B-2 - Actual Stmt. AG'!A36&amp;" (Note 1)"</f>
        <v>WS B-2 - Actual Stmt. AG Ln. 3 (Note 1)</v>
      </c>
      <c r="E43" s="980">
        <f>('WS B-2 - Actual Stmt. AG'!Q36+'WS B-2 - Actual Stmt. AG'!S36)-('WS B-2 - Actual Stmt. AG'!Q37+'WS B-2 - Actual Stmt. AG'!S37)-'WS B-2 - Actual Stmt. AG'!D27</f>
        <v>-37213232.933414742</v>
      </c>
      <c r="F43" s="978"/>
      <c r="G43" s="980">
        <f>('WS B-2 - Actual Stmt. AG'!M36+'WS B-2 - Actual Stmt. AG'!O36)-('WS B-2 - Actual Stmt. AG'!M37+'WS B-2 - Actual Stmt. AG'!O37)-'WS B-2 - Actual Stmt. AG'!C27</f>
        <v>-49901670.546314746</v>
      </c>
      <c r="H43" s="978"/>
      <c r="I43" s="984">
        <f>IF(G43="",0,(E43+G43)/2)</f>
        <v>-43557451.739864744</v>
      </c>
    </row>
    <row r="44" spans="1:9" ht="14.25">
      <c r="A44" s="51">
        <f>+A43+1</f>
        <v>20</v>
      </c>
      <c r="C44" s="986" t="s">
        <v>302</v>
      </c>
      <c r="D44" s="991" t="str">
        <f>"Ln "&amp;A41&amp;" - ln "&amp;A42&amp;" - ln "&amp;A43&amp;""</f>
        <v>Ln 17 - ln 18 - ln 19</v>
      </c>
      <c r="E44" s="985">
        <f>+E41-E42-E43</f>
        <v>49406242.743414745</v>
      </c>
      <c r="F44" s="981"/>
      <c r="G44" s="985">
        <f>+G41-G42-G43</f>
        <v>60201158.156314746</v>
      </c>
      <c r="H44" s="978"/>
      <c r="I44" s="983">
        <f>+I41-I42-I43</f>
        <v>54803700.449864745</v>
      </c>
    </row>
    <row r="45" spans="1:9" ht="14.25">
      <c r="A45" s="51"/>
      <c r="C45" s="42"/>
      <c r="D45" s="42"/>
      <c r="E45" s="978"/>
      <c r="F45" s="978"/>
      <c r="G45" s="978"/>
      <c r="H45" s="978"/>
      <c r="I45" s="978"/>
    </row>
    <row r="46" spans="1:9" ht="14.25">
      <c r="A46" s="51"/>
      <c r="C46" s="42"/>
      <c r="D46" s="42"/>
      <c r="E46" s="978"/>
      <c r="F46" s="978"/>
      <c r="G46" s="978"/>
      <c r="H46" s="978"/>
      <c r="I46" s="978"/>
    </row>
    <row r="47" spans="1:9" ht="15.75">
      <c r="A47" s="51">
        <f>+A44+1</f>
        <v>21</v>
      </c>
      <c r="C47" s="40" t="s">
        <v>299</v>
      </c>
      <c r="D47" s="42"/>
      <c r="E47" s="978"/>
      <c r="F47" s="978"/>
      <c r="G47" s="978"/>
      <c r="H47" s="978"/>
      <c r="I47" s="978"/>
    </row>
    <row r="48" spans="1:9" ht="14.25">
      <c r="A48" s="51"/>
      <c r="C48" s="42"/>
      <c r="D48" s="42"/>
      <c r="E48" s="978"/>
      <c r="F48" s="978"/>
      <c r="G48" s="978"/>
      <c r="H48" s="978"/>
      <c r="I48" s="978"/>
    </row>
    <row r="49" spans="1:10" ht="14.25">
      <c r="A49" s="51">
        <f>+A47+1</f>
        <v>22</v>
      </c>
      <c r="C49" s="986" t="s">
        <v>307</v>
      </c>
      <c r="D49" s="990" t="s">
        <v>261</v>
      </c>
      <c r="E49" s="976">
        <f>SUM('WS B-1 - Actual Stmt. AF'!Q92:S92)</f>
        <v>0</v>
      </c>
      <c r="F49" s="978"/>
      <c r="G49" s="976">
        <f>SUM('WS B-1 - Actual Stmt. AF'!M92:O92)</f>
        <v>0</v>
      </c>
      <c r="H49" s="982"/>
      <c r="I49" s="983">
        <f>IF(G49="",0,(E49+G49)/2)</f>
        <v>0</v>
      </c>
    </row>
    <row r="50" spans="1:10" ht="16.5">
      <c r="A50" s="51">
        <f>+A49+1</f>
        <v>23</v>
      </c>
      <c r="C50" s="986" t="s">
        <v>308</v>
      </c>
      <c r="D50" s="977" t="s">
        <v>326</v>
      </c>
      <c r="E50" s="980">
        <v>0</v>
      </c>
      <c r="F50" s="978"/>
      <c r="G50" s="980">
        <v>0</v>
      </c>
      <c r="H50" s="982"/>
      <c r="I50" s="984">
        <f>IF(G50="",0,(E50+G50)/2)</f>
        <v>0</v>
      </c>
    </row>
    <row r="51" spans="1:10" ht="14.25">
      <c r="A51" s="51">
        <f>+A50+1</f>
        <v>24</v>
      </c>
      <c r="C51" s="986" t="s">
        <v>252</v>
      </c>
      <c r="D51" s="991" t="str">
        <f>"Ln "&amp;A49&amp;" - ln "&amp;A50&amp;""</f>
        <v>Ln 22 - ln 23</v>
      </c>
      <c r="E51" s="985">
        <f>+E49-E50</f>
        <v>0</v>
      </c>
      <c r="F51" s="978"/>
      <c r="G51" s="985">
        <f>+G49-G50</f>
        <v>0</v>
      </c>
      <c r="H51" s="982"/>
      <c r="I51" s="983">
        <f>+I49-I50</f>
        <v>0</v>
      </c>
    </row>
    <row r="52" spans="1:10" ht="14.25">
      <c r="A52" s="51">
        <f>+A51+1</f>
        <v>25</v>
      </c>
      <c r="C52" s="986" t="s">
        <v>302</v>
      </c>
      <c r="D52" s="991" t="str">
        <f>"WS B-1 - Actual Stmt. AF Ln. " &amp;'WS B-1 - Actual Stmt. AF'!A92&amp;" (Note 1)"</f>
        <v>WS B-1 - Actual Stmt. AF Ln. 20 (Note 1)</v>
      </c>
      <c r="E52" s="976">
        <f>'WS B-1 - Actual Stmt. AF'!R92</f>
        <v>0</v>
      </c>
      <c r="F52" s="978"/>
      <c r="G52" s="976">
        <f>'WS B-1 - Actual Stmt. AF'!N92</f>
        <v>0</v>
      </c>
      <c r="H52" s="982"/>
      <c r="I52" s="983">
        <f>IF(G52="",0,(E52+G52)/2)</f>
        <v>0</v>
      </c>
    </row>
    <row r="53" spans="1:10">
      <c r="A53" s="51"/>
      <c r="C53" s="42"/>
      <c r="D53" s="42"/>
    </row>
    <row r="54" spans="1:10" ht="14.25">
      <c r="A54" s="987" t="s">
        <v>325</v>
      </c>
      <c r="B54" s="988" t="s">
        <v>408</v>
      </c>
      <c r="C54" s="988" t="s">
        <v>767</v>
      </c>
      <c r="D54" s="42"/>
    </row>
    <row r="55" spans="1:10" ht="14.25">
      <c r="A55" s="977"/>
      <c r="B55" s="989"/>
      <c r="C55" s="986" t="s">
        <v>768</v>
      </c>
      <c r="D55" s="42"/>
    </row>
    <row r="56" spans="1:10" ht="14.25">
      <c r="A56" s="977" t="s">
        <v>258</v>
      </c>
      <c r="B56" s="989" t="s">
        <v>259</v>
      </c>
      <c r="C56" s="986"/>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92"/>
  <sheetViews>
    <sheetView view="pageBreakPreview" topLeftCell="A22" zoomScale="85" zoomScaleNormal="50" zoomScaleSheetLayoutView="85" workbookViewId="0">
      <selection activeCell="R63" sqref="R63"/>
    </sheetView>
  </sheetViews>
  <sheetFormatPr defaultRowHeight="12.75"/>
  <cols>
    <col min="1" max="1" width="6.85546875" style="1020" customWidth="1"/>
    <col min="2" max="2" width="57.7109375" style="1019" bestFit="1" customWidth="1"/>
    <col min="3" max="4" width="14.85546875" style="1019" customWidth="1"/>
    <col min="5" max="6" width="14.28515625" style="1019" customWidth="1"/>
    <col min="7" max="7" width="15.28515625" style="1019" bestFit="1" customWidth="1"/>
    <col min="8" max="8" width="9.140625" style="1019"/>
    <col min="9" max="9" width="13.140625" style="1019" bestFit="1" customWidth="1"/>
    <col min="10" max="10" width="15" style="1019" bestFit="1" customWidth="1"/>
    <col min="11" max="11" width="13.5703125" style="1019" bestFit="1" customWidth="1"/>
    <col min="12" max="12" width="9.140625" style="1019"/>
    <col min="13" max="13" width="13.140625" style="1019" bestFit="1" customWidth="1"/>
    <col min="14" max="14" width="15" style="1019" bestFit="1" customWidth="1"/>
    <col min="15" max="15" width="13.5703125" style="1019" bestFit="1" customWidth="1"/>
    <col min="16" max="16" width="9.140625" style="1019"/>
    <col min="17" max="17" width="13.140625" style="1019" bestFit="1" customWidth="1"/>
    <col min="18" max="18" width="15" style="1019" bestFit="1" customWidth="1"/>
    <col min="19" max="19" width="13.5703125" style="1019" bestFit="1" customWidth="1"/>
    <col min="20" max="16384" width="9.140625" style="1019"/>
  </cols>
  <sheetData>
    <row r="1" spans="1:19">
      <c r="A1" s="1045"/>
      <c r="B1" s="1067" t="str">
        <f>TCOS!F9</f>
        <v>West Virginia Transmission Company</v>
      </c>
      <c r="C1" s="1030"/>
      <c r="D1" s="1030"/>
      <c r="E1" s="1030"/>
      <c r="F1" s="1030"/>
      <c r="G1" s="1027"/>
      <c r="H1" s="1027"/>
      <c r="I1" s="1027"/>
      <c r="J1" s="1027"/>
      <c r="K1" s="1027"/>
      <c r="L1" s="1027"/>
      <c r="M1" s="1030"/>
      <c r="N1" s="1030"/>
      <c r="O1" s="1030"/>
      <c r="P1" s="1030"/>
      <c r="Q1" s="1030"/>
      <c r="R1" s="1030"/>
      <c r="S1" s="1027"/>
    </row>
    <row r="2" spans="1:19">
      <c r="A2" s="1045"/>
      <c r="B2" s="1029" t="s">
        <v>643</v>
      </c>
      <c r="C2" s="1030"/>
      <c r="D2" s="1030"/>
      <c r="E2" s="1030"/>
      <c r="F2" s="1030"/>
      <c r="G2" s="1027"/>
      <c r="H2" s="1027"/>
      <c r="I2" s="1027"/>
      <c r="J2" s="1027"/>
      <c r="K2" s="1027"/>
      <c r="L2" s="1027"/>
      <c r="M2" s="1030"/>
      <c r="N2" s="1030"/>
      <c r="O2" s="1030"/>
      <c r="P2" s="1030"/>
      <c r="Q2" s="1030"/>
      <c r="R2" s="1030"/>
      <c r="S2" s="1027"/>
    </row>
    <row r="3" spans="1:19">
      <c r="A3" s="1045"/>
      <c r="B3" s="1029" t="str">
        <f>"PERIOD ENDED DECEMBER 31, "&amp;TCOS!L4</f>
        <v>PERIOD ENDED DECEMBER 31, 2022</v>
      </c>
      <c r="C3" s="1030"/>
      <c r="D3" s="1030"/>
      <c r="E3" s="1030"/>
      <c r="F3" s="1030"/>
      <c r="G3" s="1030"/>
      <c r="H3" s="1030"/>
      <c r="I3" s="1030"/>
      <c r="J3" s="1030"/>
      <c r="K3" s="1030"/>
      <c r="L3" s="1030"/>
      <c r="M3" s="1030"/>
      <c r="N3" s="1030"/>
      <c r="O3" s="1030"/>
      <c r="P3" s="1030"/>
      <c r="Q3" s="1030"/>
      <c r="R3" s="1030"/>
      <c r="S3" s="1030"/>
    </row>
    <row r="4" spans="1:19">
      <c r="A4" s="1045"/>
      <c r="B4" s="1030"/>
      <c r="C4" s="1030"/>
      <c r="D4" s="1030"/>
      <c r="E4" s="1030"/>
      <c r="F4" s="1030"/>
      <c r="G4" s="1028" t="s">
        <v>644</v>
      </c>
      <c r="H4" s="1028"/>
      <c r="I4" s="1028"/>
      <c r="J4" s="1028"/>
      <c r="K4" s="1028"/>
      <c r="L4" s="1028"/>
      <c r="M4" s="1030"/>
      <c r="N4" s="1030"/>
      <c r="O4" s="1030"/>
      <c r="P4" s="1030"/>
      <c r="Q4" s="1030"/>
      <c r="R4" s="1030"/>
      <c r="S4" s="1030"/>
    </row>
    <row r="5" spans="1:19">
      <c r="A5" s="1045"/>
      <c r="B5" s="1031"/>
      <c r="C5" s="1030"/>
      <c r="D5" s="1030"/>
      <c r="E5" s="1030"/>
      <c r="F5" s="1030"/>
      <c r="G5" s="1030"/>
      <c r="H5" s="1030"/>
      <c r="I5" s="1030"/>
      <c r="J5" s="1030"/>
      <c r="K5" s="1030"/>
      <c r="L5" s="1030"/>
      <c r="M5" s="1030"/>
      <c r="N5" s="1030"/>
      <c r="O5" s="1030"/>
      <c r="P5" s="1030"/>
      <c r="Q5" s="1030"/>
      <c r="R5" s="1030"/>
      <c r="S5" s="1030"/>
    </row>
    <row r="6" spans="1:19">
      <c r="A6" s="1045"/>
      <c r="B6" s="1030"/>
      <c r="C6" s="1030"/>
      <c r="D6" s="1030"/>
      <c r="E6" s="1030"/>
      <c r="F6" s="1030"/>
      <c r="G6" s="1030"/>
      <c r="H6" s="1030"/>
      <c r="I6" s="1030"/>
      <c r="J6" s="1030"/>
      <c r="K6" s="1030"/>
      <c r="L6" s="1030"/>
      <c r="M6" s="1030"/>
      <c r="N6" s="1030"/>
      <c r="O6" s="1030"/>
      <c r="P6" s="1030"/>
      <c r="Q6" s="1030"/>
      <c r="R6" s="1030"/>
      <c r="S6" s="1030"/>
    </row>
    <row r="7" spans="1:19">
      <c r="A7" s="1045"/>
      <c r="B7" s="1030"/>
      <c r="C7" s="1030"/>
      <c r="D7" s="1030"/>
      <c r="E7" s="1030"/>
      <c r="F7" s="1030"/>
      <c r="G7" s="1030"/>
      <c r="H7" s="1030"/>
      <c r="I7" s="1030"/>
      <c r="J7" s="1030"/>
      <c r="K7" s="1030"/>
      <c r="L7" s="1030"/>
      <c r="M7" s="1030"/>
      <c r="N7" s="1030"/>
      <c r="O7" s="1030"/>
      <c r="P7" s="1030"/>
      <c r="Q7" s="1030"/>
      <c r="R7" s="1030"/>
      <c r="S7" s="1030"/>
    </row>
    <row r="8" spans="1:19">
      <c r="A8" s="1045"/>
      <c r="B8" s="1032" t="s">
        <v>645</v>
      </c>
      <c r="C8" s="1032" t="s">
        <v>646</v>
      </c>
      <c r="D8" s="1032" t="s">
        <v>647</v>
      </c>
      <c r="E8" s="1032" t="s">
        <v>648</v>
      </c>
      <c r="F8" s="1032" t="s">
        <v>649</v>
      </c>
      <c r="G8" s="1032" t="s">
        <v>650</v>
      </c>
      <c r="H8" s="1032"/>
      <c r="I8" s="1032" t="s">
        <v>651</v>
      </c>
      <c r="J8" s="1032" t="s">
        <v>652</v>
      </c>
      <c r="K8" s="1032" t="s">
        <v>653</v>
      </c>
      <c r="L8" s="1032"/>
      <c r="M8" s="1032" t="s">
        <v>654</v>
      </c>
      <c r="N8" s="1032" t="s">
        <v>655</v>
      </c>
      <c r="O8" s="1032" t="s">
        <v>656</v>
      </c>
      <c r="P8" s="1030"/>
      <c r="Q8" s="1032" t="s">
        <v>657</v>
      </c>
      <c r="R8" s="1032" t="s">
        <v>658</v>
      </c>
      <c r="S8" s="1032" t="s">
        <v>659</v>
      </c>
    </row>
    <row r="9" spans="1:19">
      <c r="A9" s="1045"/>
      <c r="B9" s="1030"/>
      <c r="C9" s="1030"/>
      <c r="D9" s="1030"/>
      <c r="E9" s="1030"/>
      <c r="F9" s="1030"/>
      <c r="G9" s="1030"/>
      <c r="H9" s="1030"/>
      <c r="I9" s="1030"/>
      <c r="J9" s="1030"/>
      <c r="K9" s="1030"/>
      <c r="L9" s="1030"/>
      <c r="M9" s="1030"/>
      <c r="N9" s="1030"/>
      <c r="O9" s="1030"/>
      <c r="P9" s="1030"/>
      <c r="Q9" s="1030"/>
      <c r="R9" s="1030"/>
      <c r="S9" s="1030"/>
    </row>
    <row r="10" spans="1:19">
      <c r="A10" s="1045"/>
      <c r="B10" s="1030"/>
      <c r="C10" s="1033" t="s">
        <v>660</v>
      </c>
      <c r="D10" s="1033"/>
      <c r="E10" s="1034" t="s">
        <v>661</v>
      </c>
      <c r="F10" s="1033"/>
      <c r="G10" s="1021" t="s">
        <v>662</v>
      </c>
      <c r="H10" s="1021"/>
      <c r="I10" s="1035" t="s">
        <v>663</v>
      </c>
      <c r="J10" s="1033"/>
      <c r="K10" s="1033"/>
      <c r="L10" s="1021"/>
      <c r="M10" s="1035" t="str">
        <f>"FUNCTIONALIZATION 12/31/"&amp;TCOS!L4-1</f>
        <v>FUNCTIONALIZATION 12/31/2021</v>
      </c>
      <c r="N10" s="1033"/>
      <c r="O10" s="1033"/>
      <c r="P10" s="1030"/>
      <c r="Q10" s="1035" t="str">
        <f>"FUNCTIONALIZATION 12/31/"&amp;TCOS!L4</f>
        <v>FUNCTIONALIZATION 12/31/2022</v>
      </c>
      <c r="R10" s="1033"/>
      <c r="S10" s="1033"/>
    </row>
    <row r="11" spans="1:19">
      <c r="A11" s="1045"/>
      <c r="B11" s="1030"/>
      <c r="C11" s="1036"/>
      <c r="D11" s="1036"/>
      <c r="E11" s="1030"/>
      <c r="F11" s="1030"/>
      <c r="G11" s="1021" t="s">
        <v>664</v>
      </c>
      <c r="H11" s="1021"/>
      <c r="I11" s="1036"/>
      <c r="J11" s="1036"/>
      <c r="K11" s="1036"/>
      <c r="L11" s="1021"/>
      <c r="M11" s="1036"/>
      <c r="N11" s="1036"/>
      <c r="O11" s="1036"/>
      <c r="P11" s="1030"/>
      <c r="Q11" s="1036"/>
      <c r="R11" s="1036"/>
      <c r="S11" s="1036"/>
    </row>
    <row r="12" spans="1:19" s="1062" customFormat="1">
      <c r="A12" s="1063"/>
      <c r="B12" s="1061"/>
      <c r="C12" s="1064" t="s">
        <v>665</v>
      </c>
      <c r="D12" s="1064" t="s">
        <v>665</v>
      </c>
      <c r="E12" s="1064" t="s">
        <v>665</v>
      </c>
      <c r="F12" s="1064" t="s">
        <v>665</v>
      </c>
      <c r="G12" s="1064" t="s">
        <v>666</v>
      </c>
      <c r="H12" s="1064"/>
      <c r="I12" s="1061"/>
      <c r="J12" s="1061"/>
      <c r="K12" s="1061"/>
      <c r="L12" s="1064"/>
      <c r="M12" s="1061"/>
      <c r="N12" s="1061"/>
      <c r="O12" s="1061"/>
      <c r="P12" s="1061"/>
      <c r="Q12" s="1061"/>
      <c r="R12" s="1061"/>
      <c r="S12" s="1061"/>
    </row>
    <row r="13" spans="1:19" s="1062" customFormat="1">
      <c r="A13" s="1063"/>
      <c r="B13" s="1065" t="s">
        <v>667</v>
      </c>
      <c r="C13" s="1065" t="str">
        <f>"OF 12-31-"&amp;TCOS!L4-1</f>
        <v>OF 12-31-2021</v>
      </c>
      <c r="D13" s="1065" t="str">
        <f>"OF 12-31-"&amp;TCOS!L4</f>
        <v>OF 12-31-2022</v>
      </c>
      <c r="E13" s="1065" t="str">
        <f>"OF 12-31-"&amp;TCOS!L4-1</f>
        <v>OF 12-31-2021</v>
      </c>
      <c r="F13" s="1065" t="str">
        <f>"OF 12-31-"&amp;TCOS!L4</f>
        <v>OF 12-31-2022</v>
      </c>
      <c r="G13" s="1065" t="s">
        <v>668</v>
      </c>
      <c r="H13" s="1065"/>
      <c r="I13" s="1065" t="s">
        <v>669</v>
      </c>
      <c r="J13" s="1065" t="s">
        <v>670</v>
      </c>
      <c r="K13" s="1065" t="s">
        <v>671</v>
      </c>
      <c r="L13" s="1065"/>
      <c r="M13" s="1065" t="s">
        <v>669</v>
      </c>
      <c r="N13" s="1065" t="s">
        <v>670</v>
      </c>
      <c r="O13" s="1065" t="s">
        <v>671</v>
      </c>
      <c r="P13" s="1061"/>
      <c r="Q13" s="1065" t="s">
        <v>669</v>
      </c>
      <c r="R13" s="1065" t="s">
        <v>670</v>
      </c>
      <c r="S13" s="1065" t="s">
        <v>671</v>
      </c>
    </row>
    <row r="14" spans="1:19">
      <c r="A14" s="1045"/>
      <c r="B14" s="1030"/>
      <c r="C14" s="1030"/>
      <c r="D14" s="1030"/>
      <c r="E14" s="1030"/>
      <c r="F14" s="1030"/>
      <c r="G14" s="1030"/>
      <c r="H14" s="1030"/>
      <c r="I14" s="1030"/>
      <c r="J14" s="1030"/>
      <c r="K14" s="1030"/>
      <c r="L14" s="1030"/>
      <c r="M14" s="1030"/>
      <c r="N14" s="1030"/>
      <c r="O14" s="1030"/>
      <c r="P14" s="1030"/>
      <c r="Q14" s="1030"/>
      <c r="R14" s="1030"/>
      <c r="S14" s="1030"/>
    </row>
    <row r="15" spans="1:19">
      <c r="A15" s="1060">
        <v>1</v>
      </c>
      <c r="B15" s="1026" t="s">
        <v>672</v>
      </c>
      <c r="C15" s="1038"/>
      <c r="D15" s="1038"/>
      <c r="E15" s="1038"/>
      <c r="F15" s="1039"/>
      <c r="G15" s="1038"/>
      <c r="H15" s="1038"/>
      <c r="I15" s="1038"/>
      <c r="J15" s="1038"/>
      <c r="K15" s="1038"/>
      <c r="L15" s="1038"/>
      <c r="M15" s="1038"/>
      <c r="N15" s="1038"/>
      <c r="O15" s="1038"/>
      <c r="P15" s="1038"/>
      <c r="Q15" s="1038"/>
      <c r="R15" s="1038"/>
      <c r="S15" s="1038"/>
    </row>
    <row r="16" spans="1:19">
      <c r="A16" s="1060">
        <v>2.0099999999999998</v>
      </c>
      <c r="B16" s="1026"/>
      <c r="C16" s="1038"/>
      <c r="D16" s="1038"/>
      <c r="E16" s="1038"/>
      <c r="F16" s="1038"/>
      <c r="G16" s="1038"/>
      <c r="H16" s="1038"/>
      <c r="I16" s="1038"/>
      <c r="J16" s="1038"/>
      <c r="K16" s="1038"/>
      <c r="L16" s="1038"/>
      <c r="M16" s="1038"/>
      <c r="N16" s="1038"/>
      <c r="O16" s="1038"/>
      <c r="P16" s="1038"/>
      <c r="Q16" s="1038"/>
      <c r="R16" s="1038"/>
      <c r="S16" s="1038"/>
    </row>
    <row r="17" spans="1:19">
      <c r="A17" s="1060">
        <v>2.02</v>
      </c>
      <c r="B17" s="1026"/>
      <c r="C17" s="1038">
        <f>SUM(M17:O17)</f>
        <v>0</v>
      </c>
      <c r="D17" s="1038">
        <f>SUM(Q17:S17)</f>
        <v>0</v>
      </c>
      <c r="E17" s="1038"/>
      <c r="F17" s="1038"/>
      <c r="G17" s="1038">
        <f>ROUND(SUM(C17:F17)/2,0)</f>
        <v>0</v>
      </c>
      <c r="H17" s="1038"/>
      <c r="I17" s="1038">
        <f>(M17+Q17)/2</f>
        <v>0</v>
      </c>
      <c r="J17" s="1038">
        <f>(N17+R17)/2</f>
        <v>0</v>
      </c>
      <c r="K17" s="1038">
        <f>(O17+S17)/2</f>
        <v>0</v>
      </c>
      <c r="L17" s="1038"/>
      <c r="M17" s="1026"/>
      <c r="N17" s="1026"/>
      <c r="O17" s="1026"/>
      <c r="P17" s="1038"/>
      <c r="Q17" s="1026"/>
      <c r="R17" s="1026"/>
      <c r="S17" s="1026"/>
    </row>
    <row r="18" spans="1:19">
      <c r="A18" s="1060">
        <v>2.0299999999999998</v>
      </c>
      <c r="B18" s="1026"/>
      <c r="C18" s="1038"/>
      <c r="D18" s="1038"/>
      <c r="E18" s="1038"/>
      <c r="F18" s="1038"/>
      <c r="G18" s="1038"/>
      <c r="H18" s="1038"/>
      <c r="I18" s="1038"/>
      <c r="J18" s="1038"/>
      <c r="K18" s="1038"/>
      <c r="L18" s="1038"/>
      <c r="M18" s="1038"/>
      <c r="N18" s="1038"/>
      <c r="O18" s="1038"/>
      <c r="P18" s="1038"/>
      <c r="Q18" s="1038"/>
      <c r="R18" s="1038"/>
      <c r="S18" s="1038"/>
    </row>
    <row r="19" spans="1:19">
      <c r="A19" s="1060">
        <v>2.04</v>
      </c>
      <c r="B19" s="1026"/>
      <c r="C19" s="1038">
        <v>0</v>
      </c>
      <c r="D19" s="1038">
        <v>0</v>
      </c>
      <c r="E19" s="1038">
        <f t="shared" ref="E19:F21" si="0">-C19</f>
        <v>0</v>
      </c>
      <c r="F19" s="1038">
        <f t="shared" si="0"/>
        <v>0</v>
      </c>
      <c r="G19" s="1038">
        <f>ROUND(SUM(C19:F19)/2,0)</f>
        <v>0</v>
      </c>
      <c r="H19" s="1038"/>
      <c r="I19" s="1038"/>
      <c r="J19" s="1038"/>
      <c r="K19" s="1038"/>
      <c r="L19" s="1038"/>
      <c r="M19" s="1038"/>
      <c r="N19" s="1038"/>
      <c r="O19" s="1038"/>
      <c r="P19" s="1038"/>
      <c r="Q19" s="1038"/>
      <c r="R19" s="1038"/>
      <c r="S19" s="1038"/>
    </row>
    <row r="20" spans="1:19">
      <c r="A20" s="1060">
        <v>2.0499999999999998</v>
      </c>
      <c r="B20" s="1026"/>
      <c r="C20" s="1038">
        <v>0</v>
      </c>
      <c r="D20" s="1038">
        <v>0</v>
      </c>
      <c r="E20" s="1038">
        <f t="shared" si="0"/>
        <v>0</v>
      </c>
      <c r="F20" s="1038">
        <f t="shared" si="0"/>
        <v>0</v>
      </c>
      <c r="G20" s="1038">
        <f>ROUND(SUM(C20:F20)/2,0)</f>
        <v>0</v>
      </c>
      <c r="H20" s="1038"/>
      <c r="I20" s="1038"/>
      <c r="J20" s="1038"/>
      <c r="K20" s="1038"/>
      <c r="L20" s="1038"/>
      <c r="M20" s="1038"/>
      <c r="N20" s="1038"/>
      <c r="O20" s="1038"/>
      <c r="P20" s="1038"/>
      <c r="Q20" s="1038"/>
      <c r="R20" s="1038"/>
      <c r="S20" s="1038"/>
    </row>
    <row r="21" spans="1:19">
      <c r="A21" s="1060">
        <v>2.06</v>
      </c>
      <c r="B21" s="1026"/>
      <c r="C21" s="1038">
        <v>0</v>
      </c>
      <c r="D21" s="1038">
        <v>0</v>
      </c>
      <c r="E21" s="1038">
        <f t="shared" si="0"/>
        <v>0</v>
      </c>
      <c r="F21" s="1038">
        <f t="shared" si="0"/>
        <v>0</v>
      </c>
      <c r="G21" s="1038">
        <f>ROUND(SUM(C21:F21)/2,0)</f>
        <v>0</v>
      </c>
      <c r="H21" s="1038"/>
      <c r="I21" s="1038"/>
      <c r="J21" s="1038"/>
      <c r="K21" s="1038"/>
      <c r="L21" s="1038"/>
      <c r="M21" s="1038"/>
      <c r="N21" s="1038"/>
      <c r="O21" s="1038"/>
      <c r="P21" s="1038"/>
      <c r="Q21" s="1038"/>
      <c r="R21" s="1038"/>
      <c r="S21" s="1038"/>
    </row>
    <row r="22" spans="1:19">
      <c r="A22" s="1046"/>
      <c r="B22" s="1030"/>
      <c r="C22" s="1038"/>
      <c r="D22" s="1038"/>
      <c r="E22" s="1038"/>
      <c r="F22" s="1038"/>
      <c r="G22" s="1038"/>
      <c r="H22" s="1038"/>
      <c r="I22" s="1038"/>
      <c r="J22" s="1038"/>
      <c r="K22" s="1038"/>
      <c r="L22" s="1038"/>
      <c r="M22" s="1038"/>
      <c r="N22" s="1038"/>
      <c r="O22" s="1038"/>
      <c r="P22" s="1038"/>
      <c r="Q22" s="1038"/>
      <c r="R22" s="1038"/>
      <c r="S22" s="1038"/>
    </row>
    <row r="23" spans="1:19" ht="13.5" thickBot="1">
      <c r="A23" s="1046">
        <v>3</v>
      </c>
      <c r="B23" s="1027" t="s">
        <v>673</v>
      </c>
      <c r="C23" s="1040">
        <f>SUM(C17:C22)</f>
        <v>0</v>
      </c>
      <c r="D23" s="1040">
        <f>SUM(D17:D22)</f>
        <v>0</v>
      </c>
      <c r="E23" s="1040">
        <f>SUM(E17:E22)</f>
        <v>0</v>
      </c>
      <c r="F23" s="1040">
        <f>SUM(F17:F22)</f>
        <v>0</v>
      </c>
      <c r="G23" s="1040">
        <f>SUM(G17:G22)</f>
        <v>0</v>
      </c>
      <c r="H23" s="1038"/>
      <c r="I23" s="1040">
        <f>SUM(I17:I22)</f>
        <v>0</v>
      </c>
      <c r="J23" s="1040">
        <f>SUM(J17:J22)</f>
        <v>0</v>
      </c>
      <c r="K23" s="1040">
        <f>SUM(K17:K22)</f>
        <v>0</v>
      </c>
      <c r="L23" s="1038"/>
      <c r="M23" s="1040">
        <f>SUM(M17:M22)</f>
        <v>0</v>
      </c>
      <c r="N23" s="1040">
        <f>SUM(N17:N22)</f>
        <v>0</v>
      </c>
      <c r="O23" s="1040">
        <f>SUM(O17:O22)</f>
        <v>0</v>
      </c>
      <c r="P23" s="1038"/>
      <c r="Q23" s="1040">
        <f>SUM(Q17:Q22)</f>
        <v>0</v>
      </c>
      <c r="R23" s="1040">
        <f>SUM(R17:R22)</f>
        <v>0</v>
      </c>
      <c r="S23" s="1040">
        <f>SUM(S17:S22)</f>
        <v>0</v>
      </c>
    </row>
    <row r="24" spans="1:19" ht="13.5" thickTop="1">
      <c r="A24" s="1046">
        <f>A23+1</f>
        <v>4</v>
      </c>
      <c r="B24" s="1030" t="s">
        <v>674</v>
      </c>
      <c r="C24" s="1057">
        <v>0</v>
      </c>
      <c r="D24" s="1057">
        <v>0</v>
      </c>
      <c r="E24" s="1057">
        <v>0</v>
      </c>
      <c r="F24" s="1057">
        <v>0</v>
      </c>
      <c r="G24" s="1057">
        <v>0</v>
      </c>
      <c r="H24" s="1058"/>
      <c r="I24" s="1057">
        <v>0</v>
      </c>
      <c r="J24" s="1057">
        <v>0</v>
      </c>
      <c r="K24" s="1057">
        <v>0</v>
      </c>
      <c r="L24" s="1058"/>
      <c r="M24" s="1057">
        <v>0</v>
      </c>
      <c r="N24" s="1057">
        <v>0</v>
      </c>
      <c r="O24" s="1057">
        <v>0</v>
      </c>
      <c r="P24" s="1058"/>
      <c r="Q24" s="1057">
        <v>0</v>
      </c>
      <c r="R24" s="1057">
        <v>0</v>
      </c>
      <c r="S24" s="1057">
        <v>0</v>
      </c>
    </row>
    <row r="25" spans="1:19">
      <c r="A25" s="1046"/>
      <c r="B25" s="1030"/>
      <c r="C25" s="1038"/>
      <c r="D25" s="1038"/>
      <c r="E25" s="1038"/>
      <c r="F25" s="1038"/>
      <c r="G25" s="1038"/>
      <c r="H25" s="1038"/>
      <c r="I25" s="1038"/>
      <c r="J25" s="1038"/>
      <c r="K25" s="1038"/>
      <c r="L25" s="1038"/>
      <c r="M25" s="1038"/>
      <c r="N25" s="1038"/>
      <c r="O25" s="1038"/>
      <c r="P25" s="1038"/>
      <c r="Q25" s="1038"/>
      <c r="R25" s="1038"/>
      <c r="S25" s="1038"/>
    </row>
    <row r="26" spans="1:19">
      <c r="A26" s="1046">
        <v>5</v>
      </c>
      <c r="B26" s="1027" t="s">
        <v>675</v>
      </c>
      <c r="C26" s="1038"/>
      <c r="D26" s="1038"/>
      <c r="E26" s="1038"/>
      <c r="F26" s="1038"/>
      <c r="G26" s="1038"/>
      <c r="H26" s="1038"/>
      <c r="I26" s="1038"/>
      <c r="J26" s="1038"/>
      <c r="K26" s="1038"/>
      <c r="L26" s="1038"/>
      <c r="M26" s="1038"/>
      <c r="N26" s="1038"/>
      <c r="O26" s="1038"/>
      <c r="P26" s="1038"/>
      <c r="Q26" s="1038"/>
      <c r="R26" s="1038"/>
      <c r="S26" s="1038"/>
    </row>
    <row r="27" spans="1:19">
      <c r="A27" s="1059"/>
      <c r="B27" s="1030"/>
      <c r="C27" s="1038"/>
      <c r="D27" s="1038"/>
      <c r="E27" s="1038"/>
      <c r="F27" s="1038"/>
      <c r="G27" s="1038"/>
      <c r="H27" s="1038"/>
      <c r="I27" s="1038"/>
      <c r="J27" s="1038"/>
      <c r="K27" s="1038"/>
      <c r="L27" s="1038"/>
      <c r="M27" s="1038"/>
      <c r="N27" s="1038"/>
      <c r="O27" s="1038"/>
      <c r="P27" s="1038"/>
      <c r="Q27" s="1038"/>
      <c r="R27" s="1038"/>
      <c r="S27" s="1038"/>
    </row>
    <row r="28" spans="1:19">
      <c r="A28" s="1060">
        <v>5.01</v>
      </c>
      <c r="B28" s="1026" t="s">
        <v>851</v>
      </c>
      <c r="C28" s="1038">
        <f t="shared" ref="C28:C34" si="1">SUM(M28:O28)</f>
        <v>130556806.5</v>
      </c>
      <c r="D28" s="1038">
        <f t="shared" ref="D28:D34" si="2">SUM(Q28:S28)</f>
        <v>144962787.94</v>
      </c>
      <c r="E28" s="1038"/>
      <c r="F28" s="1038"/>
      <c r="G28" s="1038">
        <f t="shared" ref="G28:G45" si="3">ROUND(SUM(C28:F28)/2,0)</f>
        <v>137759797</v>
      </c>
      <c r="H28" s="1038"/>
      <c r="I28" s="1038">
        <f t="shared" ref="I28:K43" si="4">(M28+Q28)/2</f>
        <v>0</v>
      </c>
      <c r="J28" s="1038">
        <f t="shared" si="4"/>
        <v>137759797.22</v>
      </c>
      <c r="K28" s="1038">
        <f t="shared" si="4"/>
        <v>0</v>
      </c>
      <c r="L28" s="1038"/>
      <c r="M28" s="1026"/>
      <c r="N28" s="1026">
        <v>130556806.5</v>
      </c>
      <c r="O28" s="1026"/>
      <c r="P28" s="1038"/>
      <c r="Q28" s="1026"/>
      <c r="R28" s="1026">
        <v>144962787.94</v>
      </c>
      <c r="S28" s="1026"/>
    </row>
    <row r="29" spans="1:19">
      <c r="A29" s="1060">
        <f>A28+0.01</f>
        <v>5.0199999999999996</v>
      </c>
      <c r="B29" s="1026" t="s">
        <v>883</v>
      </c>
      <c r="C29" s="1038">
        <f t="shared" si="1"/>
        <v>933127.6</v>
      </c>
      <c r="D29" s="1038">
        <f t="shared" si="2"/>
        <v>-0.26</v>
      </c>
      <c r="E29" s="1038"/>
      <c r="F29" s="1038"/>
      <c r="G29" s="1038">
        <f>ROUND(SUM(C29:F29)/2,0)</f>
        <v>466564</v>
      </c>
      <c r="H29" s="1038"/>
      <c r="I29" s="1038">
        <f t="shared" ref="I29:K33" si="5">(M29+Q29)/2</f>
        <v>0</v>
      </c>
      <c r="J29" s="1038">
        <f t="shared" si="5"/>
        <v>466563.67</v>
      </c>
      <c r="K29" s="1038">
        <f t="shared" si="5"/>
        <v>0</v>
      </c>
      <c r="L29" s="1038"/>
      <c r="M29" s="1026"/>
      <c r="N29" s="1026">
        <v>933127.6</v>
      </c>
      <c r="O29" s="1026"/>
      <c r="P29" s="1038"/>
      <c r="Q29" s="1026"/>
      <c r="R29" s="1026">
        <v>-0.26</v>
      </c>
      <c r="S29" s="1026"/>
    </row>
    <row r="30" spans="1:19">
      <c r="A30" s="1060">
        <f t="shared" ref="A30:A48" si="6">A29+0.01</f>
        <v>5.0299999999999994</v>
      </c>
      <c r="B30" s="1026" t="s">
        <v>852</v>
      </c>
      <c r="C30" s="1038">
        <f t="shared" si="1"/>
        <v>2.1</v>
      </c>
      <c r="D30" s="1038">
        <f t="shared" si="2"/>
        <v>2.1</v>
      </c>
      <c r="E30" s="1038"/>
      <c r="F30" s="1038"/>
      <c r="G30" s="1038">
        <f>ROUND(SUM(C30:F30)/2,0)</f>
        <v>2</v>
      </c>
      <c r="H30" s="1038"/>
      <c r="I30" s="1038">
        <f t="shared" si="5"/>
        <v>0</v>
      </c>
      <c r="J30" s="1038">
        <f t="shared" si="5"/>
        <v>2.1</v>
      </c>
      <c r="K30" s="1038">
        <f t="shared" si="5"/>
        <v>0</v>
      </c>
      <c r="L30" s="1038"/>
      <c r="M30" s="1026"/>
      <c r="N30" s="1026">
        <v>2.1</v>
      </c>
      <c r="O30" s="1026"/>
      <c r="P30" s="1038"/>
      <c r="Q30" s="1026"/>
      <c r="R30" s="1026">
        <v>2.1</v>
      </c>
      <c r="S30" s="1026"/>
    </row>
    <row r="31" spans="1:19">
      <c r="A31" s="1060">
        <f t="shared" si="6"/>
        <v>5.0399999999999991</v>
      </c>
      <c r="B31" s="1026" t="s">
        <v>884</v>
      </c>
      <c r="C31" s="1038">
        <f t="shared" si="1"/>
        <v>0</v>
      </c>
      <c r="D31" s="1038">
        <f t="shared" si="2"/>
        <v>0</v>
      </c>
      <c r="E31" s="1038"/>
      <c r="F31" s="1038"/>
      <c r="G31" s="1038">
        <f>ROUND(SUM(C31:F31)/2,0)</f>
        <v>0</v>
      </c>
      <c r="H31" s="1038"/>
      <c r="I31" s="1038">
        <f t="shared" si="5"/>
        <v>0</v>
      </c>
      <c r="J31" s="1038">
        <f t="shared" si="5"/>
        <v>0</v>
      </c>
      <c r="K31" s="1038">
        <f t="shared" si="5"/>
        <v>0</v>
      </c>
      <c r="L31" s="1038"/>
      <c r="M31" s="1026"/>
      <c r="N31" s="1026">
        <v>0</v>
      </c>
      <c r="O31" s="1026"/>
      <c r="P31" s="1038"/>
      <c r="Q31" s="1026"/>
      <c r="R31" s="1026">
        <v>0</v>
      </c>
      <c r="S31" s="1026"/>
    </row>
    <row r="32" spans="1:19">
      <c r="A32" s="1060">
        <f t="shared" si="6"/>
        <v>5.0499999999999989</v>
      </c>
      <c r="B32" s="1026" t="s">
        <v>853</v>
      </c>
      <c r="C32" s="1038">
        <f t="shared" si="1"/>
        <v>144127.82999999999</v>
      </c>
      <c r="D32" s="1038">
        <f t="shared" si="2"/>
        <v>99047.13</v>
      </c>
      <c r="E32" s="1038"/>
      <c r="F32" s="1038"/>
      <c r="G32" s="1038">
        <f>ROUND(SUM(C32:F32)/2,0)</f>
        <v>121587</v>
      </c>
      <c r="H32" s="1038"/>
      <c r="I32" s="1038">
        <f t="shared" si="5"/>
        <v>0</v>
      </c>
      <c r="J32" s="1038">
        <f t="shared" si="5"/>
        <v>121587.48</v>
      </c>
      <c r="K32" s="1038">
        <f t="shared" si="5"/>
        <v>0</v>
      </c>
      <c r="L32" s="1038"/>
      <c r="M32" s="1066"/>
      <c r="N32" s="1066">
        <v>144127.82999999999</v>
      </c>
      <c r="O32" s="1026"/>
      <c r="P32" s="1038"/>
      <c r="Q32" s="1066"/>
      <c r="R32" s="1066">
        <v>99047.13</v>
      </c>
      <c r="S32" s="1026"/>
    </row>
    <row r="33" spans="1:19">
      <c r="A33" s="1060">
        <f t="shared" si="6"/>
        <v>5.0599999999999987</v>
      </c>
      <c r="B33" s="1026" t="s">
        <v>854</v>
      </c>
      <c r="C33" s="1038">
        <f t="shared" si="1"/>
        <v>7295793.4900000002</v>
      </c>
      <c r="D33" s="1038">
        <f t="shared" si="2"/>
        <v>8479181.5700000003</v>
      </c>
      <c r="E33" s="1038"/>
      <c r="F33" s="1038"/>
      <c r="G33" s="1038">
        <f>ROUND(SUM(C33:F33)/2,0)</f>
        <v>7887488</v>
      </c>
      <c r="H33" s="1038"/>
      <c r="I33" s="1038">
        <f t="shared" si="5"/>
        <v>0</v>
      </c>
      <c r="J33" s="1038">
        <f t="shared" si="5"/>
        <v>7887487.5300000003</v>
      </c>
      <c r="K33" s="1038">
        <f t="shared" si="5"/>
        <v>0</v>
      </c>
      <c r="L33" s="1038"/>
      <c r="M33" s="1026"/>
      <c r="N33" s="1026">
        <v>7295793.4900000002</v>
      </c>
      <c r="O33" s="1026"/>
      <c r="P33" s="1038"/>
      <c r="Q33" s="1026"/>
      <c r="R33" s="1066">
        <v>8479181.5700000003</v>
      </c>
      <c r="S33" s="1026"/>
    </row>
    <row r="34" spans="1:19">
      <c r="A34" s="1060">
        <f t="shared" si="6"/>
        <v>5.0699999999999985</v>
      </c>
      <c r="B34" s="1026" t="s">
        <v>855</v>
      </c>
      <c r="C34" s="1038">
        <f t="shared" si="1"/>
        <v>-14759509.279999999</v>
      </c>
      <c r="D34" s="1038">
        <f t="shared" si="2"/>
        <v>-17038486.449999999</v>
      </c>
      <c r="E34" s="1038"/>
      <c r="F34" s="1038"/>
      <c r="G34" s="1038">
        <f t="shared" si="3"/>
        <v>-15898998</v>
      </c>
      <c r="H34" s="1038"/>
      <c r="I34" s="1038">
        <f t="shared" si="4"/>
        <v>0</v>
      </c>
      <c r="J34" s="1038">
        <f t="shared" si="4"/>
        <v>-15898997.864999998</v>
      </c>
      <c r="K34" s="1038">
        <f t="shared" si="4"/>
        <v>0</v>
      </c>
      <c r="L34" s="1038"/>
      <c r="M34" s="1026"/>
      <c r="N34" s="1026">
        <v>-14759509.279999999</v>
      </c>
      <c r="O34" s="1026"/>
      <c r="P34" s="1038"/>
      <c r="Q34" s="1026"/>
      <c r="R34" s="1066">
        <v>-17038486.449999999</v>
      </c>
      <c r="S34" s="1026"/>
    </row>
    <row r="35" spans="1:19">
      <c r="A35" s="1060">
        <f t="shared" si="6"/>
        <v>5.0799999999999983</v>
      </c>
      <c r="B35" s="1026" t="s">
        <v>856</v>
      </c>
      <c r="C35" s="1038">
        <f t="shared" ref="C35:C42" si="7">SUM(M35:O35)</f>
        <v>-194250</v>
      </c>
      <c r="D35" s="1038">
        <f t="shared" ref="D35:D42" si="8">SUM(Q35:S35)</f>
        <v>-194250</v>
      </c>
      <c r="E35" s="1038"/>
      <c r="F35" s="1038"/>
      <c r="G35" s="1038">
        <f t="shared" si="3"/>
        <v>-194250</v>
      </c>
      <c r="H35" s="1038"/>
      <c r="I35" s="1038">
        <f t="shared" si="4"/>
        <v>0</v>
      </c>
      <c r="J35" s="1038">
        <f t="shared" si="4"/>
        <v>-194250</v>
      </c>
      <c r="K35" s="1038">
        <f t="shared" si="4"/>
        <v>0</v>
      </c>
      <c r="L35" s="1038"/>
      <c r="M35" s="1026"/>
      <c r="N35" s="1026">
        <v>-194250</v>
      </c>
      <c r="O35" s="1026"/>
      <c r="P35" s="1038"/>
      <c r="Q35" s="1026"/>
      <c r="R35" s="1066">
        <v>-194250</v>
      </c>
      <c r="S35" s="1026"/>
    </row>
    <row r="36" spans="1:19">
      <c r="A36" s="1060">
        <f t="shared" si="6"/>
        <v>5.0899999999999981</v>
      </c>
      <c r="B36" s="1026" t="s">
        <v>857</v>
      </c>
      <c r="C36" s="1038">
        <f t="shared" si="7"/>
        <v>4732119.03</v>
      </c>
      <c r="D36" s="1038">
        <f t="shared" si="8"/>
        <v>4728817.2</v>
      </c>
      <c r="E36" s="1038"/>
      <c r="F36" s="1038"/>
      <c r="G36" s="1038">
        <f t="shared" si="3"/>
        <v>4730468</v>
      </c>
      <c r="H36" s="1038"/>
      <c r="I36" s="1038">
        <f t="shared" si="4"/>
        <v>0</v>
      </c>
      <c r="J36" s="1038">
        <f t="shared" si="4"/>
        <v>4730468.1150000002</v>
      </c>
      <c r="K36" s="1038">
        <f t="shared" si="4"/>
        <v>0</v>
      </c>
      <c r="L36" s="1038"/>
      <c r="M36" s="1026"/>
      <c r="N36" s="1066">
        <v>4732119.03</v>
      </c>
      <c r="O36" s="1026"/>
      <c r="P36" s="1038"/>
      <c r="Q36" s="1066"/>
      <c r="R36" s="1066">
        <v>4728817.2</v>
      </c>
      <c r="S36" s="1026"/>
    </row>
    <row r="37" spans="1:19">
      <c r="A37" s="1060">
        <f t="shared" si="6"/>
        <v>5.0999999999999979</v>
      </c>
      <c r="B37" s="1026" t="s">
        <v>858</v>
      </c>
      <c r="C37" s="1038">
        <f t="shared" si="7"/>
        <v>-854.91</v>
      </c>
      <c r="D37" s="1038">
        <f t="shared" si="8"/>
        <v>-854.91</v>
      </c>
      <c r="E37" s="1038"/>
      <c r="F37" s="1038"/>
      <c r="G37" s="1038">
        <f t="shared" si="3"/>
        <v>-855</v>
      </c>
      <c r="H37" s="1038"/>
      <c r="I37" s="1038">
        <f t="shared" si="4"/>
        <v>0</v>
      </c>
      <c r="J37" s="1038">
        <f t="shared" si="4"/>
        <v>-854.91</v>
      </c>
      <c r="K37" s="1038">
        <f t="shared" si="4"/>
        <v>0</v>
      </c>
      <c r="L37" s="1038"/>
      <c r="M37" s="1026"/>
      <c r="N37" s="1026">
        <v>-854.91</v>
      </c>
      <c r="O37" s="1026"/>
      <c r="P37" s="1038"/>
      <c r="Q37" s="1026"/>
      <c r="R37" s="1066">
        <v>-854.91</v>
      </c>
      <c r="S37" s="1026"/>
    </row>
    <row r="38" spans="1:19">
      <c r="A38" s="1060">
        <f t="shared" si="6"/>
        <v>5.1099999999999977</v>
      </c>
      <c r="B38" s="1026" t="s">
        <v>859</v>
      </c>
      <c r="C38" s="1038">
        <f>SUM(M38:O38)</f>
        <v>90928.11</v>
      </c>
      <c r="D38" s="1038">
        <f t="shared" si="8"/>
        <v>90928.11</v>
      </c>
      <c r="E38" s="1038"/>
      <c r="F38" s="1038"/>
      <c r="G38" s="1038">
        <f>ROUND(SUM(C38:F38)/2,0)</f>
        <v>90928</v>
      </c>
      <c r="H38" s="1038"/>
      <c r="I38" s="1038">
        <f t="shared" si="4"/>
        <v>0</v>
      </c>
      <c r="J38" s="1038">
        <f t="shared" si="4"/>
        <v>90928.11</v>
      </c>
      <c r="K38" s="1038">
        <f t="shared" si="4"/>
        <v>0</v>
      </c>
      <c r="L38" s="1038"/>
      <c r="M38" s="1026"/>
      <c r="N38" s="1026">
        <v>90928.11</v>
      </c>
      <c r="O38" s="1026"/>
      <c r="P38" s="1038"/>
      <c r="Q38" s="1026"/>
      <c r="R38" s="1066">
        <v>90928.11</v>
      </c>
      <c r="S38" s="1026"/>
    </row>
    <row r="39" spans="1:19">
      <c r="A39" s="1060">
        <f t="shared" si="6"/>
        <v>5.1199999999999974</v>
      </c>
      <c r="B39" s="1026" t="s">
        <v>860</v>
      </c>
      <c r="C39" s="1038">
        <f t="shared" si="7"/>
        <v>1959244.4400000002</v>
      </c>
      <c r="D39" s="1038">
        <f t="shared" si="8"/>
        <v>1386679.4400000002</v>
      </c>
      <c r="E39" s="1038"/>
      <c r="F39" s="1038"/>
      <c r="G39" s="1038">
        <f t="shared" si="3"/>
        <v>1672962</v>
      </c>
      <c r="H39" s="1038"/>
      <c r="I39" s="1038">
        <f t="shared" si="4"/>
        <v>0</v>
      </c>
      <c r="J39" s="1038">
        <f t="shared" si="4"/>
        <v>1672961.9400000002</v>
      </c>
      <c r="K39" s="1038">
        <f t="shared" si="4"/>
        <v>0</v>
      </c>
      <c r="L39" s="1038"/>
      <c r="M39" s="1026"/>
      <c r="N39" s="1026">
        <v>1959244.4400000002</v>
      </c>
      <c r="O39" s="1026"/>
      <c r="P39" s="1038"/>
      <c r="Q39" s="1026"/>
      <c r="R39" s="1026">
        <v>1386679.4400000002</v>
      </c>
      <c r="S39" s="1026"/>
    </row>
    <row r="40" spans="1:19">
      <c r="A40" s="1060">
        <f t="shared" si="6"/>
        <v>5.1299999999999972</v>
      </c>
      <c r="B40" s="1026" t="s">
        <v>955</v>
      </c>
      <c r="C40" s="1038">
        <f>SUM(M40:O40)</f>
        <v>20069.78</v>
      </c>
      <c r="D40" s="1038">
        <f>SUM(Q40:S40)</f>
        <v>52059.18</v>
      </c>
      <c r="E40" s="1038"/>
      <c r="F40" s="1038"/>
      <c r="G40" s="1038">
        <f>ROUND(SUM(C40:F40)/2,0)</f>
        <v>36064</v>
      </c>
      <c r="H40" s="1038"/>
      <c r="I40" s="1038">
        <f>(M40+Q40)/2</f>
        <v>0</v>
      </c>
      <c r="J40" s="1038">
        <f>(N40+R40)/2</f>
        <v>36064.479999999996</v>
      </c>
      <c r="K40" s="1038">
        <f>(O40+S40)/2</f>
        <v>0</v>
      </c>
      <c r="L40" s="1038"/>
      <c r="M40" s="1026"/>
      <c r="N40" s="1026">
        <v>20069.78</v>
      </c>
      <c r="O40" s="1026"/>
      <c r="P40" s="1038"/>
      <c r="Q40" s="1026"/>
      <c r="R40" s="1026">
        <v>52059.18</v>
      </c>
      <c r="S40" s="1026"/>
    </row>
    <row r="41" spans="1:19">
      <c r="A41" s="1060">
        <f t="shared" si="6"/>
        <v>5.139999999999997</v>
      </c>
      <c r="B41" s="1026" t="s">
        <v>861</v>
      </c>
      <c r="C41" s="1038">
        <f t="shared" si="7"/>
        <v>77762.16</v>
      </c>
      <c r="D41" s="1038">
        <f t="shared" si="8"/>
        <v>144380.88</v>
      </c>
      <c r="E41" s="1038"/>
      <c r="F41" s="1038"/>
      <c r="G41" s="1038">
        <f t="shared" si="3"/>
        <v>111072</v>
      </c>
      <c r="H41" s="1038"/>
      <c r="I41" s="1038">
        <f t="shared" si="4"/>
        <v>0</v>
      </c>
      <c r="J41" s="1038">
        <f t="shared" si="4"/>
        <v>111071.52</v>
      </c>
      <c r="K41" s="1038">
        <f t="shared" si="4"/>
        <v>0</v>
      </c>
      <c r="L41" s="1038"/>
      <c r="M41" s="1026"/>
      <c r="N41" s="1026">
        <v>77762.16</v>
      </c>
      <c r="O41" s="1026"/>
      <c r="P41" s="1038"/>
      <c r="Q41" s="1026"/>
      <c r="R41" s="1026">
        <v>144380.88</v>
      </c>
      <c r="S41" s="1026"/>
    </row>
    <row r="42" spans="1:19">
      <c r="A42" s="1060">
        <f t="shared" si="6"/>
        <v>5.1499999999999968</v>
      </c>
      <c r="B42" s="1026" t="s">
        <v>862</v>
      </c>
      <c r="C42" s="1038">
        <f t="shared" si="7"/>
        <v>56738377</v>
      </c>
      <c r="D42" s="1038">
        <f t="shared" si="8"/>
        <v>55792889</v>
      </c>
      <c r="E42" s="1038"/>
      <c r="F42" s="1038"/>
      <c r="G42" s="1038">
        <f t="shared" si="3"/>
        <v>56265633</v>
      </c>
      <c r="H42" s="1038"/>
      <c r="I42" s="1038">
        <f t="shared" si="4"/>
        <v>0</v>
      </c>
      <c r="J42" s="1038">
        <f t="shared" si="4"/>
        <v>56265633</v>
      </c>
      <c r="K42" s="1038">
        <f t="shared" si="4"/>
        <v>0</v>
      </c>
      <c r="L42" s="1038"/>
      <c r="M42" s="1026"/>
      <c r="N42" s="1026">
        <v>56738377</v>
      </c>
      <c r="O42" s="1026"/>
      <c r="P42" s="1038"/>
      <c r="Q42" s="1026"/>
      <c r="R42" s="1026">
        <v>55792889</v>
      </c>
      <c r="S42" s="1026"/>
    </row>
    <row r="43" spans="1:19">
      <c r="A43" s="1060">
        <f t="shared" si="6"/>
        <v>5.1599999999999966</v>
      </c>
      <c r="B43" s="1026" t="s">
        <v>863</v>
      </c>
      <c r="C43" s="1038">
        <f>SUM(M43:O43)</f>
        <v>375516</v>
      </c>
      <c r="D43" s="1038">
        <f>SUM(Q43:S43)</f>
        <v>312929</v>
      </c>
      <c r="E43" s="1038"/>
      <c r="F43" s="1038"/>
      <c r="G43" s="1038">
        <f t="shared" si="3"/>
        <v>344223</v>
      </c>
      <c r="H43" s="1038"/>
      <c r="I43" s="1038">
        <f t="shared" si="4"/>
        <v>0</v>
      </c>
      <c r="J43" s="1038">
        <f t="shared" si="4"/>
        <v>344222.5</v>
      </c>
      <c r="K43" s="1038">
        <f t="shared" si="4"/>
        <v>0</v>
      </c>
      <c r="L43" s="1038"/>
      <c r="M43" s="1026"/>
      <c r="N43" s="1026">
        <v>375516</v>
      </c>
      <c r="O43" s="1026"/>
      <c r="P43" s="1038"/>
      <c r="Q43" s="1026"/>
      <c r="R43" s="1026">
        <v>312929</v>
      </c>
      <c r="S43" s="1026"/>
    </row>
    <row r="44" spans="1:19">
      <c r="A44" s="1060">
        <f t="shared" si="6"/>
        <v>5.1699999999999964</v>
      </c>
      <c r="B44" s="1378" t="s">
        <v>978</v>
      </c>
      <c r="C44" s="1378">
        <f>SUM(M44:O44)</f>
        <v>-40643781.761505097</v>
      </c>
      <c r="D44" s="1378">
        <f>SUM(Q44:S44)</f>
        <v>-40588281.679835066</v>
      </c>
      <c r="E44" s="1379"/>
      <c r="F44" s="1379"/>
      <c r="G44" s="1380">
        <f t="shared" si="3"/>
        <v>-40616032</v>
      </c>
      <c r="H44" s="1380"/>
      <c r="I44" s="1380">
        <f>(M44+Q44)/2</f>
        <v>0</v>
      </c>
      <c r="J44" s="1380">
        <f>(N44+R44)/2</f>
        <v>-40616031.720670082</v>
      </c>
      <c r="K44" s="1380">
        <f>(O44+S44)/2</f>
        <v>0</v>
      </c>
      <c r="L44" s="1038"/>
      <c r="M44" s="1026"/>
      <c r="N44" s="1026">
        <v>-40643781.761505097</v>
      </c>
      <c r="O44" s="1026"/>
      <c r="P44" s="1038"/>
      <c r="Q44" s="1026"/>
      <c r="R44" s="1026">
        <v>-40588281.679835066</v>
      </c>
      <c r="S44" s="1026"/>
    </row>
    <row r="45" spans="1:19">
      <c r="A45" s="1060">
        <f t="shared" si="6"/>
        <v>5.1799999999999962</v>
      </c>
      <c r="B45" s="1378" t="s">
        <v>979</v>
      </c>
      <c r="C45" s="1378">
        <f>-E45</f>
        <v>40643781.761505097</v>
      </c>
      <c r="D45" s="1378">
        <f>-F45</f>
        <v>40588281.679835066</v>
      </c>
      <c r="E45" s="1379">
        <f>C44</f>
        <v>-40643781.761505097</v>
      </c>
      <c r="F45" s="1379">
        <f>D44</f>
        <v>-40588281.679835066</v>
      </c>
      <c r="G45" s="1380">
        <f t="shared" si="3"/>
        <v>0</v>
      </c>
      <c r="H45" s="1380"/>
      <c r="I45" s="1380"/>
      <c r="J45" s="1380"/>
      <c r="K45" s="1380"/>
      <c r="L45" s="1038"/>
      <c r="M45" s="1026"/>
      <c r="N45" s="1026"/>
      <c r="O45" s="1026"/>
      <c r="P45" s="1038"/>
      <c r="Q45" s="1026"/>
      <c r="R45" s="1026"/>
      <c r="S45" s="1026"/>
    </row>
    <row r="46" spans="1:19">
      <c r="A46" s="1060">
        <f t="shared" si="6"/>
        <v>5.1899999999999959</v>
      </c>
      <c r="B46" s="1026" t="s">
        <v>864</v>
      </c>
      <c r="C46" s="1026">
        <f t="shared" ref="C46:D48" si="9">-E46</f>
        <v>0</v>
      </c>
      <c r="D46" s="1026">
        <f t="shared" si="9"/>
        <v>0</v>
      </c>
      <c r="E46" s="1038">
        <v>0</v>
      </c>
      <c r="F46" s="1038">
        <v>0</v>
      </c>
      <c r="G46" s="1038">
        <v>0</v>
      </c>
      <c r="H46" s="1038"/>
      <c r="I46" s="1038"/>
      <c r="J46" s="1038"/>
      <c r="K46" s="1038"/>
      <c r="L46" s="1038"/>
      <c r="M46" s="1038"/>
      <c r="N46" s="1038"/>
      <c r="O46" s="1038"/>
      <c r="P46" s="1038"/>
      <c r="Q46" s="1038"/>
      <c r="R46" s="1038"/>
      <c r="S46" s="1038"/>
    </row>
    <row r="47" spans="1:19">
      <c r="A47" s="1060">
        <f t="shared" si="6"/>
        <v>5.1999999999999957</v>
      </c>
      <c r="B47" s="1026" t="s">
        <v>865</v>
      </c>
      <c r="C47" s="1026">
        <f t="shared" si="9"/>
        <v>21951751.93</v>
      </c>
      <c r="D47" s="1026">
        <f t="shared" si="9"/>
        <v>25024606.379999999</v>
      </c>
      <c r="E47" s="1038">
        <v>-21951751.93</v>
      </c>
      <c r="F47" s="1038">
        <v>-25024606.379999999</v>
      </c>
      <c r="G47" s="1038">
        <v>0</v>
      </c>
      <c r="H47" s="1038"/>
      <c r="I47" s="1038"/>
      <c r="J47" s="1038"/>
      <c r="K47" s="1038"/>
      <c r="L47" s="1038"/>
      <c r="M47" s="1038"/>
      <c r="N47" s="1038"/>
      <c r="O47" s="1038"/>
      <c r="P47" s="1038"/>
      <c r="Q47" s="1038"/>
      <c r="R47" s="1038"/>
      <c r="S47" s="1038"/>
    </row>
    <row r="48" spans="1:19">
      <c r="A48" s="1060">
        <f t="shared" si="6"/>
        <v>5.2099999999999955</v>
      </c>
      <c r="B48" s="1026" t="s">
        <v>866</v>
      </c>
      <c r="C48" s="1026">
        <f t="shared" si="9"/>
        <v>-57113893</v>
      </c>
      <c r="D48" s="1026">
        <f t="shared" si="9"/>
        <v>-56105818</v>
      </c>
      <c r="E48" s="1038">
        <v>57113893</v>
      </c>
      <c r="F48" s="1038">
        <v>56105818</v>
      </c>
      <c r="G48" s="1038">
        <v>0</v>
      </c>
      <c r="H48" s="1038"/>
      <c r="I48" s="1038"/>
      <c r="J48" s="1038"/>
      <c r="K48" s="1038"/>
      <c r="L48" s="1038"/>
      <c r="M48" s="1038"/>
      <c r="N48" s="1038"/>
      <c r="O48" s="1038"/>
      <c r="P48" s="1038"/>
      <c r="Q48" s="1038"/>
      <c r="R48" s="1038"/>
      <c r="S48" s="1038"/>
    </row>
    <row r="49" spans="1:19">
      <c r="A49" s="1019"/>
    </row>
    <row r="50" spans="1:19">
      <c r="A50" s="1046"/>
      <c r="B50" s="1030"/>
      <c r="C50" s="1038"/>
      <c r="D50" s="1038"/>
      <c r="E50" s="1038"/>
      <c r="F50" s="1038"/>
      <c r="G50" s="1038"/>
      <c r="H50" s="1038"/>
      <c r="I50" s="1038"/>
      <c r="J50" s="1038"/>
      <c r="K50" s="1038"/>
      <c r="L50" s="1038"/>
      <c r="M50" s="1038"/>
      <c r="N50" s="1038"/>
      <c r="O50" s="1038"/>
      <c r="P50" s="1038"/>
      <c r="Q50" s="1038"/>
      <c r="R50" s="1038"/>
      <c r="S50" s="1038"/>
    </row>
    <row r="51" spans="1:19" ht="13.5" thickBot="1">
      <c r="A51" s="1046">
        <v>6</v>
      </c>
      <c r="B51" s="1027" t="s">
        <v>676</v>
      </c>
      <c r="C51" s="1040">
        <f>SUM(C28:C50)</f>
        <v>152807118.77999997</v>
      </c>
      <c r="D51" s="1040">
        <f>SUM(D28:D50)</f>
        <v>167734898.31</v>
      </c>
      <c r="E51" s="1040">
        <f>SUM(E28:E50)</f>
        <v>-5481640.6915050969</v>
      </c>
      <c r="F51" s="1040">
        <f>SUM(F28:F50)</f>
        <v>-9507070.0598350614</v>
      </c>
      <c r="G51" s="1040">
        <f>SUM(G28:G50)</f>
        <v>152776653</v>
      </c>
      <c r="H51" s="1038"/>
      <c r="I51" s="1040">
        <f>SUM(I28:I50)</f>
        <v>0</v>
      </c>
      <c r="J51" s="1040">
        <f>SUM(J28:J50)</f>
        <v>152776653.16932991</v>
      </c>
      <c r="K51" s="1040">
        <f>SUM(K28:K50)</f>
        <v>0</v>
      </c>
      <c r="L51" s="1038"/>
      <c r="M51" s="1040">
        <f>SUM(M28:M50)</f>
        <v>0</v>
      </c>
      <c r="N51" s="1040">
        <f>SUM(N28:N50)</f>
        <v>147325478.08849487</v>
      </c>
      <c r="O51" s="1040">
        <f>SUM(O28:O50)</f>
        <v>0</v>
      </c>
      <c r="P51" s="1038"/>
      <c r="Q51" s="1040">
        <f>SUM(Q28:Q50)</f>
        <v>0</v>
      </c>
      <c r="R51" s="1040">
        <f>SUM(R28:R50)</f>
        <v>158227828.25016493</v>
      </c>
      <c r="S51" s="1040">
        <f>SUM(S28:S50)</f>
        <v>0</v>
      </c>
    </row>
    <row r="52" spans="1:19" ht="13.5" thickTop="1">
      <c r="A52" s="1046">
        <f>A51+1</f>
        <v>7</v>
      </c>
      <c r="B52" s="1030" t="s">
        <v>677</v>
      </c>
      <c r="C52" s="1041">
        <v>0</v>
      </c>
      <c r="D52" s="1041">
        <v>0</v>
      </c>
      <c r="E52" s="1041">
        <v>0</v>
      </c>
      <c r="F52" s="1041">
        <v>0</v>
      </c>
      <c r="G52" s="1041">
        <v>0</v>
      </c>
      <c r="H52" s="1038"/>
      <c r="I52" s="1041">
        <v>0</v>
      </c>
      <c r="J52" s="1041">
        <v>0</v>
      </c>
      <c r="K52" s="1041">
        <v>0</v>
      </c>
      <c r="L52" s="1041"/>
      <c r="M52" s="1041">
        <v>0</v>
      </c>
      <c r="N52" s="1041">
        <v>0</v>
      </c>
      <c r="O52" s="1041">
        <v>0</v>
      </c>
      <c r="P52" s="1038"/>
      <c r="Q52" s="1041">
        <v>0</v>
      </c>
      <c r="R52" s="1041">
        <v>0</v>
      </c>
      <c r="S52" s="1041">
        <v>0</v>
      </c>
    </row>
    <row r="53" spans="1:19">
      <c r="A53" s="1046"/>
      <c r="B53" s="1027"/>
      <c r="C53" s="1038"/>
      <c r="D53" s="1042"/>
      <c r="E53" s="1038"/>
      <c r="F53" s="1038"/>
      <c r="G53" s="1038"/>
      <c r="H53" s="1038"/>
      <c r="I53" s="1038"/>
      <c r="J53" s="1038"/>
      <c r="K53" s="1038"/>
      <c r="L53" s="1038"/>
      <c r="M53" s="1038"/>
      <c r="N53" s="1038"/>
      <c r="O53" s="1038"/>
      <c r="P53" s="1038"/>
      <c r="Q53" s="1038"/>
      <c r="R53" s="1038"/>
      <c r="S53" s="1038"/>
    </row>
    <row r="54" spans="1:19">
      <c r="A54" s="1046">
        <v>8</v>
      </c>
      <c r="B54" s="1024" t="s">
        <v>678</v>
      </c>
      <c r="C54" s="1038" t="s">
        <v>408</v>
      </c>
      <c r="D54" s="1038"/>
      <c r="E54" s="1038"/>
      <c r="F54" s="1038"/>
      <c r="G54" s="1038"/>
      <c r="H54" s="1038"/>
      <c r="I54" s="1038"/>
      <c r="J54" s="1038"/>
      <c r="K54" s="1038"/>
      <c r="L54" s="1038"/>
      <c r="M54" s="1038"/>
      <c r="N54" s="1038"/>
      <c r="O54" s="1038"/>
      <c r="P54" s="1038"/>
      <c r="Q54" s="1038"/>
      <c r="R54" s="1038"/>
      <c r="S54" s="1038"/>
    </row>
    <row r="55" spans="1:19">
      <c r="A55" s="1046"/>
      <c r="B55" s="1030"/>
      <c r="C55" s="1038"/>
      <c r="D55" s="1038"/>
      <c r="E55" s="1038"/>
      <c r="F55" s="1038"/>
      <c r="G55" s="1038"/>
      <c r="H55" s="1038"/>
      <c r="I55" s="1038"/>
      <c r="J55" s="1038"/>
      <c r="K55" s="1038"/>
      <c r="L55" s="1038"/>
      <c r="M55" s="1038"/>
      <c r="N55" s="1038"/>
      <c r="O55" s="1038"/>
      <c r="P55" s="1038"/>
      <c r="Q55" s="1038"/>
      <c r="R55" s="1038"/>
      <c r="S55" s="1038"/>
    </row>
    <row r="56" spans="1:19">
      <c r="A56" s="1060">
        <v>9.01</v>
      </c>
      <c r="B56" s="1026" t="s">
        <v>867</v>
      </c>
      <c r="C56" s="1038">
        <f t="shared" ref="C56:C62" si="10">SUM(M56:O56)</f>
        <v>0</v>
      </c>
      <c r="D56" s="1038">
        <f t="shared" ref="D56:D62" si="11">SUM(Q56:S56)</f>
        <v>0</v>
      </c>
      <c r="E56" s="1038"/>
      <c r="F56" s="1038"/>
      <c r="G56" s="1038">
        <f t="shared" ref="G56:G69" si="12">ROUND(SUM(C56:F56)/2,0)</f>
        <v>0</v>
      </c>
      <c r="H56" s="1038"/>
      <c r="I56" s="1038">
        <f t="shared" ref="I56:K62" si="13">(M56+Q56)/2</f>
        <v>0</v>
      </c>
      <c r="J56" s="1038">
        <f t="shared" si="13"/>
        <v>0</v>
      </c>
      <c r="K56" s="1038">
        <f t="shared" si="13"/>
        <v>0</v>
      </c>
      <c r="L56" s="1038"/>
      <c r="M56" s="1026"/>
      <c r="N56" s="1026"/>
      <c r="O56" s="1026"/>
      <c r="P56" s="1038"/>
      <c r="Q56" s="1026"/>
      <c r="R56" s="1026"/>
      <c r="S56" s="1026"/>
    </row>
    <row r="57" spans="1:19">
      <c r="A57" s="1060">
        <f>A56+0.01</f>
        <v>9.02</v>
      </c>
      <c r="B57" s="1026" t="s">
        <v>868</v>
      </c>
      <c r="C57" s="1038">
        <f t="shared" si="10"/>
        <v>2052722.24</v>
      </c>
      <c r="D57" s="1038">
        <f t="shared" si="11"/>
        <v>2372213.09</v>
      </c>
      <c r="E57" s="1038"/>
      <c r="F57" s="1038"/>
      <c r="G57" s="1038">
        <f t="shared" si="12"/>
        <v>2212468</v>
      </c>
      <c r="H57" s="1038"/>
      <c r="I57" s="1038">
        <f t="shared" si="13"/>
        <v>0</v>
      </c>
      <c r="J57" s="1038">
        <f t="shared" si="13"/>
        <v>2212467.665</v>
      </c>
      <c r="K57" s="1038">
        <f t="shared" si="13"/>
        <v>0</v>
      </c>
      <c r="L57" s="1038"/>
      <c r="M57" s="1026"/>
      <c r="N57" s="1026">
        <v>2052722.24</v>
      </c>
      <c r="O57" s="1026"/>
      <c r="P57" s="1038"/>
      <c r="Q57" s="1026"/>
      <c r="R57" s="1026">
        <v>2372213.09</v>
      </c>
      <c r="S57" s="1026"/>
    </row>
    <row r="58" spans="1:19">
      <c r="A58" s="1060">
        <f t="shared" ref="A58:A69" si="14">A57+0.01</f>
        <v>9.0299999999999994</v>
      </c>
      <c r="B58" s="1026" t="s">
        <v>956</v>
      </c>
      <c r="C58" s="1038">
        <f t="shared" si="10"/>
        <v>0</v>
      </c>
      <c r="D58" s="1038">
        <f t="shared" si="11"/>
        <v>0</v>
      </c>
      <c r="E58" s="1038"/>
      <c r="F58" s="1038"/>
      <c r="G58" s="1038">
        <f t="shared" si="12"/>
        <v>0</v>
      </c>
      <c r="H58" s="1038"/>
      <c r="I58" s="1038">
        <f t="shared" si="13"/>
        <v>0</v>
      </c>
      <c r="J58" s="1038">
        <f t="shared" si="13"/>
        <v>0</v>
      </c>
      <c r="K58" s="1038">
        <f t="shared" si="13"/>
        <v>0</v>
      </c>
      <c r="L58" s="1038"/>
      <c r="M58" s="1026"/>
      <c r="N58" s="1026">
        <v>0</v>
      </c>
      <c r="O58" s="1026"/>
      <c r="P58" s="1038"/>
      <c r="Q58" s="1026"/>
      <c r="R58" s="1026">
        <v>0</v>
      </c>
      <c r="S58" s="1026"/>
    </row>
    <row r="59" spans="1:19">
      <c r="A59" s="1060">
        <f t="shared" si="14"/>
        <v>9.0399999999999991</v>
      </c>
      <c r="B59" s="1026" t="s">
        <v>982</v>
      </c>
      <c r="C59" s="1038">
        <f t="shared" si="10"/>
        <v>1255081.17</v>
      </c>
      <c r="D59" s="1038">
        <f t="shared" si="11"/>
        <v>0</v>
      </c>
      <c r="E59" s="1038"/>
      <c r="F59" s="1038"/>
      <c r="G59" s="1038">
        <f t="shared" si="12"/>
        <v>627541</v>
      </c>
      <c r="H59" s="1038"/>
      <c r="I59" s="1038">
        <f t="shared" ref="I59:K61" si="15">(M59+Q59)/2</f>
        <v>0</v>
      </c>
      <c r="J59" s="1038">
        <f t="shared" si="15"/>
        <v>627540.58499999996</v>
      </c>
      <c r="K59" s="1038">
        <f t="shared" si="15"/>
        <v>0</v>
      </c>
      <c r="L59" s="1038"/>
      <c r="M59" s="1026"/>
      <c r="N59" s="1026">
        <v>1255081.17</v>
      </c>
      <c r="O59" s="1026"/>
      <c r="P59" s="1038"/>
      <c r="Q59" s="1026"/>
      <c r="R59" s="1026">
        <v>0</v>
      </c>
      <c r="S59" s="1026"/>
    </row>
    <row r="60" spans="1:19">
      <c r="A60" s="1060">
        <f t="shared" si="14"/>
        <v>9.0499999999999989</v>
      </c>
      <c r="B60" s="1026" t="s">
        <v>983</v>
      </c>
      <c r="C60" s="1038">
        <f t="shared" si="10"/>
        <v>-9684.7800000000007</v>
      </c>
      <c r="D60" s="1038">
        <f t="shared" si="11"/>
        <v>-9684.7800000000007</v>
      </c>
      <c r="E60" s="1038"/>
      <c r="F60" s="1038"/>
      <c r="G60" s="1038">
        <f t="shared" si="12"/>
        <v>-9685</v>
      </c>
      <c r="H60" s="1038"/>
      <c r="I60" s="1038">
        <f t="shared" si="15"/>
        <v>0</v>
      </c>
      <c r="J60" s="1038">
        <f t="shared" si="15"/>
        <v>-9684.7800000000007</v>
      </c>
      <c r="K60" s="1038">
        <f t="shared" si="15"/>
        <v>0</v>
      </c>
      <c r="L60" s="1038"/>
      <c r="M60" s="1026"/>
      <c r="N60" s="1026">
        <v>-9684.7800000000007</v>
      </c>
      <c r="O60" s="1026"/>
      <c r="P60" s="1038"/>
      <c r="Q60" s="1026"/>
      <c r="R60" s="1026">
        <v>-9684.7800000000007</v>
      </c>
      <c r="S60" s="1026"/>
    </row>
    <row r="61" spans="1:19">
      <c r="A61" s="1060">
        <f t="shared" si="14"/>
        <v>9.0599999999999987</v>
      </c>
      <c r="B61" s="1026" t="s">
        <v>863</v>
      </c>
      <c r="C61" s="1038">
        <f t="shared" si="10"/>
        <v>-4546630.38</v>
      </c>
      <c r="D61" s="1038">
        <f t="shared" si="11"/>
        <v>-3065268.38</v>
      </c>
      <c r="E61" s="1038"/>
      <c r="F61" s="1038"/>
      <c r="G61" s="1038">
        <f t="shared" si="12"/>
        <v>-3805949</v>
      </c>
      <c r="H61" s="1038"/>
      <c r="I61" s="1038">
        <f t="shared" si="15"/>
        <v>0</v>
      </c>
      <c r="J61" s="1038">
        <f t="shared" si="15"/>
        <v>-3805949.38</v>
      </c>
      <c r="K61" s="1038">
        <f t="shared" si="15"/>
        <v>0</v>
      </c>
      <c r="L61" s="1038"/>
      <c r="M61" s="1026"/>
      <c r="N61" s="1026">
        <v>-4546630.38</v>
      </c>
      <c r="O61" s="1026"/>
      <c r="P61" s="1038"/>
      <c r="Q61" s="1026"/>
      <c r="R61" s="1026">
        <v>-3065268.38</v>
      </c>
      <c r="S61" s="1026"/>
    </row>
    <row r="62" spans="1:19">
      <c r="A62" s="1060">
        <f t="shared" si="14"/>
        <v>9.0699999999999985</v>
      </c>
      <c r="B62" s="1378" t="s">
        <v>978</v>
      </c>
      <c r="C62" s="1378">
        <f t="shared" si="10"/>
        <v>0</v>
      </c>
      <c r="D62" s="1378">
        <f t="shared" si="11"/>
        <v>0</v>
      </c>
      <c r="E62" s="1379"/>
      <c r="F62" s="1379"/>
      <c r="G62" s="1380">
        <f t="shared" si="12"/>
        <v>0</v>
      </c>
      <c r="H62" s="1380"/>
      <c r="I62" s="1380">
        <f t="shared" si="13"/>
        <v>0</v>
      </c>
      <c r="J62" s="1380">
        <f t="shared" si="13"/>
        <v>0</v>
      </c>
      <c r="K62" s="1380">
        <f t="shared" si="13"/>
        <v>0</v>
      </c>
      <c r="L62" s="1038"/>
      <c r="M62" s="1026"/>
      <c r="N62" s="1026">
        <v>0</v>
      </c>
      <c r="O62" s="1026"/>
      <c r="P62" s="1038"/>
      <c r="Q62" s="1026"/>
      <c r="R62" s="1026">
        <v>0</v>
      </c>
      <c r="S62" s="1026"/>
    </row>
    <row r="63" spans="1:19">
      <c r="A63" s="1060">
        <f t="shared" si="14"/>
        <v>9.0799999999999983</v>
      </c>
      <c r="B63" s="1378" t="s">
        <v>979</v>
      </c>
      <c r="C63" s="1378">
        <f>-E63</f>
        <v>0</v>
      </c>
      <c r="D63" s="1378">
        <f>-F63</f>
        <v>0</v>
      </c>
      <c r="E63" s="1379">
        <f>C62</f>
        <v>0</v>
      </c>
      <c r="F63" s="1379">
        <f>D62</f>
        <v>0</v>
      </c>
      <c r="G63" s="1380">
        <f t="shared" si="12"/>
        <v>0</v>
      </c>
      <c r="H63" s="1380"/>
      <c r="I63" s="1380"/>
      <c r="J63" s="1380"/>
      <c r="K63" s="1380"/>
      <c r="L63" s="1038"/>
      <c r="M63" s="1026"/>
      <c r="N63" s="1026"/>
      <c r="O63" s="1026"/>
      <c r="P63" s="1038"/>
      <c r="Q63" s="1026"/>
      <c r="R63" s="1026"/>
      <c r="S63" s="1026"/>
    </row>
    <row r="64" spans="1:19">
      <c r="A64" s="1060">
        <f t="shared" si="14"/>
        <v>9.0899999999999981</v>
      </c>
      <c r="B64" s="1026" t="s">
        <v>869</v>
      </c>
      <c r="C64" s="1026">
        <f>SUM(M64:O64)</f>
        <v>0</v>
      </c>
      <c r="D64" s="1026">
        <f>SUM(Q64:S64)</f>
        <v>0</v>
      </c>
      <c r="E64" s="1038">
        <v>0</v>
      </c>
      <c r="F64" s="1038">
        <v>0</v>
      </c>
      <c r="G64" s="1038">
        <f t="shared" si="12"/>
        <v>0</v>
      </c>
      <c r="H64" s="1038"/>
      <c r="I64" s="1038"/>
      <c r="J64" s="1038"/>
      <c r="K64" s="1038"/>
      <c r="L64" s="1038"/>
      <c r="M64" s="1026"/>
      <c r="N64" s="1026"/>
      <c r="O64" s="1026"/>
      <c r="P64" s="1038"/>
      <c r="Q64" s="1026"/>
      <c r="R64" s="1026"/>
      <c r="S64" s="1026"/>
    </row>
    <row r="65" spans="1:19">
      <c r="A65" s="1060">
        <f t="shared" si="14"/>
        <v>9.0999999999999979</v>
      </c>
      <c r="B65" s="1026" t="s">
        <v>870</v>
      </c>
      <c r="C65" s="1026">
        <f t="shared" ref="C65:D67" si="16">-E65</f>
        <v>5494340.1500000004</v>
      </c>
      <c r="D65" s="1026">
        <f t="shared" si="16"/>
        <v>6311121.8799999999</v>
      </c>
      <c r="E65" s="1038">
        <v>-5494340.1500000004</v>
      </c>
      <c r="F65" s="1038">
        <v>-6311121.8799999999</v>
      </c>
      <c r="G65" s="1038">
        <f t="shared" si="12"/>
        <v>0</v>
      </c>
      <c r="H65" s="1038"/>
      <c r="I65" s="1038"/>
      <c r="J65" s="1038"/>
      <c r="K65" s="1038"/>
      <c r="L65" s="1038"/>
      <c r="M65" s="1026"/>
      <c r="N65" s="1026"/>
      <c r="O65" s="1026"/>
      <c r="P65" s="1038"/>
      <c r="Q65" s="1026"/>
      <c r="R65" s="1026"/>
      <c r="S65" s="1026"/>
    </row>
    <row r="66" spans="1:19">
      <c r="A66" s="1060">
        <f t="shared" si="14"/>
        <v>9.1099999999999977</v>
      </c>
      <c r="B66" s="1026" t="s">
        <v>871</v>
      </c>
      <c r="C66" s="1026">
        <f t="shared" si="16"/>
        <v>4546630.38</v>
      </c>
      <c r="D66" s="1026">
        <f t="shared" si="16"/>
        <v>3065268.38</v>
      </c>
      <c r="E66" s="1038">
        <v>-4546630.38</v>
      </c>
      <c r="F66" s="1038">
        <v>-3065268.38</v>
      </c>
      <c r="G66" s="1038">
        <f t="shared" si="12"/>
        <v>0</v>
      </c>
      <c r="H66" s="1038"/>
      <c r="I66" s="1038"/>
      <c r="J66" s="1038"/>
      <c r="K66" s="1038"/>
      <c r="L66" s="1038"/>
      <c r="M66" s="1026"/>
      <c r="N66" s="1026"/>
      <c r="O66" s="1026"/>
      <c r="P66" s="1038"/>
      <c r="Q66" s="1026"/>
      <c r="R66" s="1026"/>
      <c r="S66" s="1026"/>
    </row>
    <row r="67" spans="1:19">
      <c r="A67" s="1060">
        <f t="shared" si="14"/>
        <v>9.1199999999999974</v>
      </c>
      <c r="B67" s="1026" t="s">
        <v>995</v>
      </c>
      <c r="C67" s="1026">
        <f t="shared" si="16"/>
        <v>-46118</v>
      </c>
      <c r="D67" s="1026">
        <f t="shared" si="16"/>
        <v>-46118</v>
      </c>
      <c r="E67" s="1038">
        <v>46118</v>
      </c>
      <c r="F67" s="1038">
        <v>46118</v>
      </c>
      <c r="G67" s="1038">
        <f t="shared" si="12"/>
        <v>0</v>
      </c>
      <c r="H67" s="1038"/>
      <c r="I67" s="1038"/>
      <c r="J67" s="1038"/>
      <c r="K67" s="1038"/>
      <c r="L67" s="1038"/>
      <c r="M67" s="1026"/>
      <c r="N67" s="1026"/>
      <c r="O67" s="1026"/>
      <c r="P67" s="1038"/>
      <c r="Q67" s="1026"/>
      <c r="R67" s="1026"/>
      <c r="S67" s="1026"/>
    </row>
    <row r="68" spans="1:19">
      <c r="A68" s="1060">
        <f t="shared" si="14"/>
        <v>9.1299999999999972</v>
      </c>
      <c r="B68" s="1026" t="s">
        <v>872</v>
      </c>
      <c r="C68" s="1026">
        <f>SUM(M68:O68)</f>
        <v>0</v>
      </c>
      <c r="D68" s="1026">
        <f>SUM(Q68:S68)</f>
        <v>0</v>
      </c>
      <c r="E68" s="1038">
        <v>0</v>
      </c>
      <c r="F68" s="1038">
        <v>0</v>
      </c>
      <c r="G68" s="1038">
        <f t="shared" si="12"/>
        <v>0</v>
      </c>
      <c r="H68" s="1038"/>
      <c r="I68" s="1038"/>
      <c r="J68" s="1038"/>
      <c r="K68" s="1038"/>
      <c r="L68" s="1038"/>
      <c r="M68" s="1026"/>
      <c r="N68" s="1026"/>
      <c r="O68" s="1026"/>
      <c r="P68" s="1038"/>
      <c r="Q68" s="1026"/>
      <c r="R68" s="1026"/>
      <c r="S68" s="1026"/>
    </row>
    <row r="69" spans="1:19">
      <c r="A69" s="1060">
        <f t="shared" si="14"/>
        <v>9.139999999999997</v>
      </c>
      <c r="B69" s="1026" t="s">
        <v>873</v>
      </c>
      <c r="C69" s="1026">
        <f>SUM(M69:O69)</f>
        <v>0</v>
      </c>
      <c r="D69" s="1026">
        <f>SUM(Q69:S69)</f>
        <v>0</v>
      </c>
      <c r="E69" s="1038">
        <v>0</v>
      </c>
      <c r="F69" s="1038">
        <v>0</v>
      </c>
      <c r="G69" s="1038">
        <f t="shared" si="12"/>
        <v>0</v>
      </c>
      <c r="H69" s="1038"/>
      <c r="I69" s="1038"/>
      <c r="J69" s="1038"/>
      <c r="K69" s="1038"/>
      <c r="L69" s="1038"/>
      <c r="M69" s="1026"/>
      <c r="N69" s="1026"/>
      <c r="O69" s="1026"/>
      <c r="P69" s="1038"/>
      <c r="Q69" s="1026"/>
      <c r="R69" s="1026"/>
      <c r="S69" s="1026"/>
    </row>
    <row r="70" spans="1:19">
      <c r="A70" s="1046"/>
      <c r="B70" s="1030"/>
      <c r="C70" s="1038"/>
      <c r="D70" s="1038"/>
      <c r="E70" s="1038"/>
      <c r="F70" s="1038"/>
      <c r="G70" s="1038"/>
      <c r="H70" s="1038"/>
      <c r="I70" s="1038"/>
      <c r="J70" s="1038"/>
      <c r="K70" s="1038"/>
      <c r="L70" s="1038"/>
      <c r="M70" s="1038"/>
      <c r="N70" s="1038"/>
      <c r="O70" s="1038"/>
      <c r="P70" s="1038"/>
      <c r="Q70" s="1038"/>
      <c r="R70" s="1038"/>
      <c r="S70" s="1038"/>
    </row>
    <row r="71" spans="1:19">
      <c r="A71" s="1046"/>
      <c r="B71" s="1030"/>
      <c r="C71" s="1038"/>
      <c r="D71" s="1038"/>
      <c r="E71" s="1038"/>
      <c r="F71" s="1038"/>
      <c r="G71" s="1038"/>
      <c r="H71" s="1038"/>
      <c r="I71" s="1038"/>
      <c r="J71" s="1038"/>
      <c r="K71" s="1038"/>
      <c r="L71" s="1038"/>
      <c r="M71" s="1038"/>
      <c r="N71" s="1038"/>
      <c r="O71" s="1038"/>
      <c r="P71" s="1038"/>
      <c r="Q71" s="1038"/>
      <c r="R71" s="1038"/>
      <c r="S71" s="1038"/>
    </row>
    <row r="72" spans="1:19" ht="13.5" thickBot="1">
      <c r="A72" s="1046">
        <v>10</v>
      </c>
      <c r="B72" s="1027"/>
      <c r="C72" s="1040">
        <f>SUM(C56:C71)</f>
        <v>8746340.7800000012</v>
      </c>
      <c r="D72" s="1040">
        <f>SUM(D56:D71)</f>
        <v>8627532.1900000013</v>
      </c>
      <c r="E72" s="1040">
        <f>SUM(E56:E71)</f>
        <v>-9994852.5300000012</v>
      </c>
      <c r="F72" s="1040">
        <f>SUM(F56:F71)</f>
        <v>-9330272.2599999998</v>
      </c>
      <c r="G72" s="1040">
        <f>SUM(G56:G71)</f>
        <v>-975625</v>
      </c>
      <c r="H72" s="1038"/>
      <c r="I72" s="1040">
        <f>SUM(I56:I71)</f>
        <v>0</v>
      </c>
      <c r="J72" s="1040">
        <f>SUM(J56:J71)</f>
        <v>-975625.90999999968</v>
      </c>
      <c r="K72" s="1040">
        <f>SUM(K56:K71)</f>
        <v>0</v>
      </c>
      <c r="L72" s="1038"/>
      <c r="M72" s="1040">
        <f>SUM(M56:M71)</f>
        <v>0</v>
      </c>
      <c r="N72" s="1040">
        <f>SUM(N56:N71)</f>
        <v>-1248511.7499999995</v>
      </c>
      <c r="O72" s="1040">
        <f>SUM(O56:O71)</f>
        <v>0</v>
      </c>
      <c r="P72" s="1038"/>
      <c r="Q72" s="1040">
        <f>SUM(Q56:Q71)</f>
        <v>0</v>
      </c>
      <c r="R72" s="1040">
        <f>SUM(R56:R71)</f>
        <v>-702740.06999999983</v>
      </c>
      <c r="S72" s="1040">
        <f>SUM(S56:S71)</f>
        <v>0</v>
      </c>
    </row>
    <row r="73" spans="1:19" ht="13.5" thickTop="1">
      <c r="A73" s="1046"/>
      <c r="B73" s="1030"/>
      <c r="C73" s="1041"/>
      <c r="D73" s="1041"/>
      <c r="E73" s="1041"/>
      <c r="F73" s="1041"/>
      <c r="G73" s="1041"/>
      <c r="H73" s="1038"/>
      <c r="I73" s="1041"/>
      <c r="J73" s="1041"/>
      <c r="K73" s="1041"/>
      <c r="L73" s="1038"/>
      <c r="M73" s="1041"/>
      <c r="N73" s="1041"/>
      <c r="O73" s="1041"/>
      <c r="P73" s="1038"/>
      <c r="Q73" s="1041"/>
      <c r="R73" s="1041"/>
      <c r="S73" s="1041"/>
    </row>
    <row r="74" spans="1:19">
      <c r="A74" s="1046"/>
      <c r="B74" s="1030"/>
      <c r="C74" s="1038"/>
      <c r="D74" s="1038"/>
      <c r="E74" s="1038"/>
      <c r="F74" s="1038"/>
      <c r="G74" s="1038"/>
      <c r="H74" s="1038"/>
      <c r="I74" s="1038"/>
      <c r="J74" s="1038"/>
      <c r="K74" s="1038"/>
      <c r="L74" s="1038"/>
      <c r="M74" s="1038"/>
      <c r="N74" s="1038"/>
      <c r="O74" s="1038"/>
      <c r="P74" s="1038"/>
      <c r="Q74" s="1038"/>
      <c r="R74" s="1038"/>
      <c r="S74" s="1038"/>
    </row>
    <row r="75" spans="1:19">
      <c r="A75" s="1046">
        <f>+A72+1</f>
        <v>11</v>
      </c>
      <c r="B75" s="1024" t="s">
        <v>679</v>
      </c>
      <c r="C75" s="1038">
        <f>SUM(M75:O75)</f>
        <v>48282905.009999998</v>
      </c>
      <c r="D75" s="1038">
        <f>SUM(Q75:S75)</f>
        <v>52301787.359999999</v>
      </c>
      <c r="E75" s="1038"/>
      <c r="F75" s="1038"/>
      <c r="G75" s="1038">
        <f>ROUND(SUM(C75:F75)/2,0)</f>
        <v>50292346</v>
      </c>
      <c r="H75" s="1038"/>
      <c r="I75" s="1038">
        <f>(M75+Q75)/2</f>
        <v>0</v>
      </c>
      <c r="J75" s="1038">
        <f>(N75+R75)/2</f>
        <v>50292346.185000002</v>
      </c>
      <c r="K75" s="1038">
        <f>(O75+S75)/2</f>
        <v>0</v>
      </c>
      <c r="L75" s="1038"/>
      <c r="M75" s="1026"/>
      <c r="N75" s="1026">
        <v>48282905.009999998</v>
      </c>
      <c r="O75" s="1026"/>
      <c r="P75" s="1038"/>
      <c r="Q75" s="1026"/>
      <c r="R75" s="1026">
        <v>52301787.359999999</v>
      </c>
      <c r="S75" s="1026"/>
    </row>
    <row r="76" spans="1:19">
      <c r="A76" s="1068">
        <f>A75+0.01</f>
        <v>11.01</v>
      </c>
      <c r="B76" s="1026"/>
      <c r="C76" s="1026"/>
      <c r="D76" s="1026"/>
      <c r="E76" s="1038">
        <f>-C76</f>
        <v>0</v>
      </c>
      <c r="F76" s="1038">
        <f>-D76</f>
        <v>0</v>
      </c>
      <c r="G76" s="1038">
        <f>ROUND(SUM(C76:F76)/2,0)</f>
        <v>0</v>
      </c>
      <c r="H76" s="1038"/>
      <c r="I76" s="1038"/>
      <c r="J76" s="1038"/>
      <c r="K76" s="1038"/>
      <c r="L76" s="1038"/>
      <c r="M76" s="1038"/>
      <c r="N76" s="1038"/>
      <c r="O76" s="1038"/>
      <c r="P76" s="1038"/>
      <c r="Q76" s="1038"/>
      <c r="R76" s="1038"/>
      <c r="S76" s="1038"/>
    </row>
    <row r="77" spans="1:19">
      <c r="A77" s="1046"/>
      <c r="B77" s="1030"/>
      <c r="C77" s="1038"/>
      <c r="D77" s="1038"/>
      <c r="E77" s="1038"/>
      <c r="F77" s="1038"/>
      <c r="G77" s="1038"/>
      <c r="H77" s="1038"/>
      <c r="I77" s="1038"/>
      <c r="J77" s="1038"/>
      <c r="K77" s="1038"/>
      <c r="L77" s="1038"/>
      <c r="M77" s="1038"/>
      <c r="N77" s="1038"/>
      <c r="O77" s="1038"/>
      <c r="P77" s="1038"/>
      <c r="Q77" s="1038"/>
      <c r="R77" s="1038"/>
      <c r="S77" s="1038"/>
    </row>
    <row r="78" spans="1:19" ht="13.5" thickBot="1">
      <c r="A78" s="1046">
        <f>+A75+1</f>
        <v>12</v>
      </c>
      <c r="B78" s="1027" t="s">
        <v>680</v>
      </c>
      <c r="C78" s="1040">
        <f>SUM(C72:C77)</f>
        <v>57029245.789999999</v>
      </c>
      <c r="D78" s="1040">
        <f>SUM(D72:D77)</f>
        <v>60929319.549999997</v>
      </c>
      <c r="E78" s="1040">
        <f>SUM(E72:E77)</f>
        <v>-9994852.5300000012</v>
      </c>
      <c r="F78" s="1040">
        <f>SUM(F72:F77)</f>
        <v>-9330272.2599999998</v>
      </c>
      <c r="G78" s="1040">
        <f>SUM(G72:G77)</f>
        <v>49316721</v>
      </c>
      <c r="H78" s="1038"/>
      <c r="I78" s="1040">
        <f>SUM(I72:I77)</f>
        <v>0</v>
      </c>
      <c r="J78" s="1040">
        <f>SUM(J72:J77)</f>
        <v>49316720.275000006</v>
      </c>
      <c r="K78" s="1040">
        <f>SUM(K72:K77)</f>
        <v>0</v>
      </c>
      <c r="L78" s="1038"/>
      <c r="M78" s="1043">
        <f>SUM(M72:M77)</f>
        <v>0</v>
      </c>
      <c r="N78" s="1043">
        <f>SUM(N72:N77)</f>
        <v>47034393.259999998</v>
      </c>
      <c r="O78" s="1043">
        <f>SUM(O72:O77)</f>
        <v>0</v>
      </c>
      <c r="P78" s="1038"/>
      <c r="Q78" s="1040">
        <f>SUM(Q72:Q77)</f>
        <v>0</v>
      </c>
      <c r="R78" s="1040">
        <f>SUM(R72:R77)</f>
        <v>51599047.289999999</v>
      </c>
      <c r="S78" s="1040">
        <f>SUM(S72:S77)</f>
        <v>0</v>
      </c>
    </row>
    <row r="79" spans="1:19" ht="13.5" thickTop="1">
      <c r="A79" s="1046">
        <f>A78+1</f>
        <v>13</v>
      </c>
      <c r="B79" s="1030" t="s">
        <v>681</v>
      </c>
      <c r="C79" s="1041">
        <v>0</v>
      </c>
      <c r="D79" s="1041">
        <v>0</v>
      </c>
      <c r="E79" s="1041">
        <v>0</v>
      </c>
      <c r="F79" s="1041">
        <v>0</v>
      </c>
      <c r="G79" s="1041">
        <v>0</v>
      </c>
      <c r="H79" s="1038"/>
      <c r="I79" s="1041">
        <v>0</v>
      </c>
      <c r="J79" s="1041">
        <v>0</v>
      </c>
      <c r="K79" s="1041">
        <v>0</v>
      </c>
      <c r="L79" s="1038"/>
      <c r="M79" s="1041">
        <v>0</v>
      </c>
      <c r="N79" s="1041">
        <v>0</v>
      </c>
      <c r="O79" s="1041">
        <v>0</v>
      </c>
      <c r="P79" s="1038"/>
      <c r="Q79" s="1041">
        <v>0</v>
      </c>
      <c r="R79" s="1041">
        <v>0</v>
      </c>
      <c r="S79" s="1041">
        <v>0</v>
      </c>
    </row>
    <row r="80" spans="1:19">
      <c r="A80" s="1046"/>
      <c r="B80" s="1030"/>
      <c r="C80" s="1042"/>
      <c r="D80" s="1042"/>
      <c r="E80" s="1038"/>
      <c r="F80" s="1038"/>
      <c r="G80" s="1038"/>
      <c r="H80" s="1038"/>
      <c r="I80" s="1038"/>
      <c r="J80" s="1038"/>
      <c r="K80" s="1038"/>
      <c r="L80" s="1038"/>
      <c r="M80" s="1038"/>
      <c r="N80" s="1038"/>
      <c r="O80" s="1038"/>
      <c r="P80" s="1038"/>
      <c r="Q80" s="1038"/>
      <c r="R80" s="1038"/>
      <c r="S80" s="1038"/>
    </row>
    <row r="81" spans="1:19">
      <c r="A81" s="1046">
        <f>+A79+1</f>
        <v>14</v>
      </c>
      <c r="B81" s="1027" t="s">
        <v>682</v>
      </c>
      <c r="C81" s="1038"/>
      <c r="D81" s="1038"/>
      <c r="E81" s="1038"/>
      <c r="F81" s="1038"/>
      <c r="G81" s="1038"/>
      <c r="H81" s="1038"/>
      <c r="I81" s="1038"/>
      <c r="J81" s="1038"/>
      <c r="K81" s="1038"/>
      <c r="L81" s="1038"/>
      <c r="M81" s="1038"/>
      <c r="N81" s="1038"/>
      <c r="O81" s="1038"/>
      <c r="P81" s="1038"/>
      <c r="Q81" s="1038"/>
      <c r="R81" s="1038"/>
      <c r="S81" s="1038"/>
    </row>
    <row r="82" spans="1:19">
      <c r="A82" s="1046"/>
      <c r="B82" s="1030"/>
      <c r="C82" s="1038"/>
      <c r="D82" s="1038"/>
      <c r="E82" s="1038"/>
      <c r="F82" s="1038"/>
      <c r="G82" s="1038"/>
      <c r="H82" s="1038"/>
      <c r="I82" s="1038"/>
      <c r="J82" s="1038"/>
      <c r="K82" s="1038"/>
      <c r="L82" s="1038"/>
      <c r="M82" s="1038"/>
      <c r="N82" s="1038"/>
      <c r="O82" s="1038"/>
      <c r="P82" s="1038"/>
      <c r="Q82" s="1038"/>
      <c r="R82" s="1038"/>
      <c r="S82" s="1038"/>
    </row>
    <row r="83" spans="1:19">
      <c r="A83" s="1046">
        <f>+A81+1</f>
        <v>15</v>
      </c>
      <c r="B83" s="1027" t="s">
        <v>683</v>
      </c>
      <c r="C83" s="1038"/>
      <c r="D83" s="1038"/>
      <c r="E83" s="1038"/>
      <c r="F83" s="1038"/>
      <c r="G83" s="1038"/>
      <c r="H83" s="1038"/>
      <c r="I83" s="1038"/>
      <c r="J83" s="1038"/>
      <c r="K83" s="1038"/>
      <c r="L83" s="1038"/>
      <c r="M83" s="1038"/>
      <c r="N83" s="1038"/>
      <c r="O83" s="1038"/>
      <c r="P83" s="1038"/>
      <c r="Q83" s="1038"/>
      <c r="R83" s="1038"/>
      <c r="S83" s="1038"/>
    </row>
    <row r="84" spans="1:19">
      <c r="A84" s="1046"/>
      <c r="B84" s="1030"/>
      <c r="C84" s="1038"/>
      <c r="D84" s="1044"/>
      <c r="E84" s="1044"/>
      <c r="F84" s="1044"/>
      <c r="G84" s="1044"/>
      <c r="H84" s="1044"/>
      <c r="I84" s="1044"/>
      <c r="J84" s="1044"/>
      <c r="K84" s="1044"/>
      <c r="L84" s="1044"/>
      <c r="M84" s="1038"/>
      <c r="N84" s="1038"/>
      <c r="O84" s="1038"/>
      <c r="P84" s="1038"/>
      <c r="Q84" s="1038"/>
      <c r="R84" s="1038"/>
      <c r="S84" s="1038"/>
    </row>
    <row r="85" spans="1:19">
      <c r="A85" s="1046">
        <f>+A83+1</f>
        <v>16</v>
      </c>
      <c r="B85" s="1027" t="s">
        <v>684</v>
      </c>
      <c r="C85" s="1038"/>
      <c r="D85" s="1044"/>
      <c r="E85" s="1044"/>
      <c r="F85" s="1044"/>
      <c r="G85" s="1044"/>
      <c r="H85" s="1044"/>
      <c r="I85" s="1044"/>
      <c r="J85" s="1044"/>
      <c r="K85" s="1044"/>
      <c r="L85" s="1044"/>
      <c r="M85" s="1038"/>
      <c r="N85" s="1038"/>
      <c r="O85" s="1038"/>
      <c r="P85" s="1038"/>
      <c r="Q85" s="1038"/>
      <c r="R85" s="1038"/>
      <c r="S85" s="1038"/>
    </row>
    <row r="86" spans="1:19">
      <c r="A86" s="1046"/>
      <c r="B86" s="1030"/>
      <c r="C86" s="1038"/>
      <c r="D86" s="1038"/>
      <c r="E86" s="1038"/>
      <c r="F86" s="1038"/>
      <c r="G86" s="1038"/>
      <c r="H86" s="1038"/>
      <c r="I86" s="1038"/>
      <c r="J86" s="1038"/>
      <c r="K86" s="1038"/>
      <c r="L86" s="1038"/>
      <c r="M86" s="1038"/>
      <c r="N86" s="1038"/>
      <c r="O86" s="1038"/>
      <c r="P86" s="1038"/>
      <c r="Q86" s="1038"/>
      <c r="R86" s="1038"/>
      <c r="S86" s="1038"/>
    </row>
    <row r="87" spans="1:19">
      <c r="A87" s="1046">
        <f>+A85+1</f>
        <v>17</v>
      </c>
      <c r="B87" s="1024" t="s">
        <v>685</v>
      </c>
      <c r="C87" s="1038"/>
      <c r="D87" s="1038"/>
      <c r="E87" s="1038"/>
      <c r="F87" s="1038"/>
      <c r="G87" s="1038"/>
      <c r="H87" s="1038"/>
      <c r="I87" s="1038"/>
      <c r="J87" s="1038"/>
      <c r="K87" s="1038"/>
      <c r="L87" s="1038"/>
      <c r="M87" s="1038"/>
      <c r="N87" s="1038"/>
      <c r="O87" s="1038"/>
      <c r="P87" s="1038"/>
      <c r="Q87" s="1038"/>
      <c r="R87" s="1038"/>
      <c r="S87" s="1038"/>
    </row>
    <row r="88" spans="1:19">
      <c r="A88" s="1046">
        <f>A87+1</f>
        <v>18</v>
      </c>
      <c r="B88" s="1024" t="s">
        <v>686</v>
      </c>
      <c r="C88" s="1038"/>
      <c r="D88" s="1038"/>
      <c r="E88" s="1038"/>
      <c r="F88" s="1038"/>
      <c r="G88" s="1038"/>
      <c r="H88" s="1038"/>
      <c r="I88" s="1038"/>
      <c r="J88" s="1038"/>
      <c r="K88" s="1038"/>
      <c r="L88" s="1038"/>
      <c r="M88" s="1038"/>
      <c r="N88" s="1038"/>
      <c r="O88" s="1038"/>
      <c r="P88" s="1038"/>
      <c r="Q88" s="1026"/>
      <c r="R88" s="1038"/>
      <c r="S88" s="1038"/>
    </row>
    <row r="89" spans="1:19">
      <c r="A89" s="1068">
        <f>A88+0.01</f>
        <v>18.010000000000002</v>
      </c>
      <c r="B89" s="1026"/>
      <c r="C89" s="1038">
        <f>SUM(M89:O89)</f>
        <v>0</v>
      </c>
      <c r="D89" s="1038">
        <f>SUM(Q89:S89)</f>
        <v>0</v>
      </c>
      <c r="E89" s="1038"/>
      <c r="F89" s="1038"/>
      <c r="G89" s="1038">
        <f>ROUND(SUM(C89:F89)/2,0)</f>
        <v>0</v>
      </c>
      <c r="H89" s="1038"/>
      <c r="I89" s="1038">
        <f t="shared" ref="I89:K90" si="17">(M89+Q89)/2</f>
        <v>0</v>
      </c>
      <c r="J89" s="1038">
        <f t="shared" si="17"/>
        <v>0</v>
      </c>
      <c r="K89" s="1038">
        <f t="shared" si="17"/>
        <v>0</v>
      </c>
      <c r="L89" s="1038"/>
      <c r="M89" s="1026"/>
      <c r="N89" s="1026"/>
      <c r="O89" s="1026"/>
      <c r="P89" s="1038"/>
      <c r="Q89" s="1026"/>
      <c r="R89" s="1026"/>
      <c r="S89" s="1026"/>
    </row>
    <row r="90" spans="1:19">
      <c r="A90" s="1068">
        <f>A89+0.01</f>
        <v>18.020000000000003</v>
      </c>
      <c r="B90" s="1026"/>
      <c r="C90" s="1038">
        <f>SUM(M90:O90)</f>
        <v>0</v>
      </c>
      <c r="D90" s="1038">
        <f>SUM(Q90:S90)</f>
        <v>0</v>
      </c>
      <c r="E90" s="1038"/>
      <c r="F90" s="1038"/>
      <c r="G90" s="1038">
        <f>ROUND(SUM(C90:F90)/2,0)</f>
        <v>0</v>
      </c>
      <c r="H90" s="1038"/>
      <c r="I90" s="1038">
        <f t="shared" si="17"/>
        <v>0</v>
      </c>
      <c r="J90" s="1038">
        <f t="shared" si="17"/>
        <v>0</v>
      </c>
      <c r="K90" s="1038">
        <f t="shared" si="17"/>
        <v>0</v>
      </c>
      <c r="L90" s="1038"/>
      <c r="M90" s="1026"/>
      <c r="N90" s="1026"/>
      <c r="O90" s="1026"/>
      <c r="P90" s="1038"/>
      <c r="Q90" s="1026"/>
      <c r="R90" s="1026"/>
      <c r="S90" s="1026"/>
    </row>
    <row r="91" spans="1:19">
      <c r="A91" s="1046">
        <f>INT(A90)+1</f>
        <v>19</v>
      </c>
      <c r="B91" s="1027"/>
      <c r="C91" s="1038"/>
      <c r="D91" s="1038"/>
      <c r="E91" s="1038"/>
      <c r="F91" s="1038"/>
      <c r="G91" s="1038"/>
      <c r="H91" s="1038"/>
      <c r="I91" s="1038"/>
      <c r="J91" s="1038"/>
      <c r="K91" s="1038"/>
      <c r="L91" s="1038"/>
      <c r="M91" s="1038"/>
      <c r="N91" s="1038"/>
      <c r="O91" s="1038"/>
      <c r="P91" s="1038"/>
      <c r="Q91" s="1038"/>
      <c r="R91" s="1038"/>
      <c r="S91" s="1038"/>
    </row>
    <row r="92" spans="1:19">
      <c r="A92" s="1046">
        <f>A91+1</f>
        <v>20</v>
      </c>
      <c r="B92" s="1024" t="s">
        <v>687</v>
      </c>
      <c r="C92" s="1040">
        <f>SUM(C89:C91)</f>
        <v>0</v>
      </c>
      <c r="D92" s="1040">
        <f>SUM(D89:D91)</f>
        <v>0</v>
      </c>
      <c r="E92" s="1040">
        <f>SUM(E89:E91)</f>
        <v>0</v>
      </c>
      <c r="F92" s="1040">
        <f>SUM(F89:F91)</f>
        <v>0</v>
      </c>
      <c r="G92" s="1040">
        <f>SUM(G89:G91)</f>
        <v>0</v>
      </c>
      <c r="H92" s="1038"/>
      <c r="I92" s="1040">
        <f>SUM(I89:I91)</f>
        <v>0</v>
      </c>
      <c r="J92" s="1040">
        <f>SUM(J89:J91)</f>
        <v>0</v>
      </c>
      <c r="K92" s="1040">
        <f>SUM(K89:K91)</f>
        <v>0</v>
      </c>
      <c r="L92" s="1038"/>
      <c r="M92" s="1040">
        <f>SUM(M89:M91)</f>
        <v>0</v>
      </c>
      <c r="N92" s="1040">
        <f>SUM(N89:N91)</f>
        <v>0</v>
      </c>
      <c r="O92" s="1040">
        <f>SUM(O89:O91)</f>
        <v>0</v>
      </c>
      <c r="P92" s="1038"/>
      <c r="Q92" s="1040">
        <f>SUM(Q89:Q91)</f>
        <v>0</v>
      </c>
      <c r="R92" s="1040">
        <f>SUM(R89:R91)</f>
        <v>0</v>
      </c>
      <c r="S92" s="1040">
        <f>SUM(S89:S91)</f>
        <v>0</v>
      </c>
    </row>
  </sheetData>
  <pageMargins left="0.7" right="0.7" top="0.75" bottom="0.75" header="0.3" footer="0.3"/>
  <pageSetup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38"/>
  <sheetViews>
    <sheetView view="pageBreakPreview" zoomScale="85" zoomScaleNormal="100" zoomScaleSheetLayoutView="85" workbookViewId="0">
      <selection activeCell="R28" sqref="R28"/>
    </sheetView>
  </sheetViews>
  <sheetFormatPr defaultRowHeight="12.75"/>
  <cols>
    <col min="1" max="1" width="6" style="1019" customWidth="1"/>
    <col min="2" max="2" width="54.5703125" style="1019" bestFit="1" customWidth="1"/>
    <col min="3" max="3" width="13.42578125" style="1019" bestFit="1" customWidth="1"/>
    <col min="4" max="4" width="12.85546875" style="1019" bestFit="1" customWidth="1"/>
    <col min="5" max="6" width="17" style="1019" customWidth="1"/>
    <col min="7" max="7" width="15.28515625" style="1019" bestFit="1" customWidth="1"/>
    <col min="8" max="8" width="9.140625" style="1019"/>
    <col min="9" max="9" width="13.140625" style="1019" bestFit="1" customWidth="1"/>
    <col min="10" max="10" width="15" style="1019" bestFit="1" customWidth="1"/>
    <col min="11" max="11" width="13.5703125" style="1019" bestFit="1" customWidth="1"/>
    <col min="12" max="12" width="9.140625" style="1019"/>
    <col min="13" max="13" width="13.140625" style="1019" bestFit="1" customWidth="1"/>
    <col min="14" max="14" width="15" style="1019" bestFit="1" customWidth="1"/>
    <col min="15" max="15" width="13.5703125" style="1019" bestFit="1" customWidth="1"/>
    <col min="16" max="16" width="9.140625" style="1019"/>
    <col min="17" max="17" width="13.140625" style="1019" bestFit="1" customWidth="1"/>
    <col min="18" max="18" width="15" style="1019" bestFit="1" customWidth="1"/>
    <col min="19" max="19" width="13.5703125" style="1019" bestFit="1" customWidth="1"/>
    <col min="20" max="16384" width="9.140625" style="1019"/>
  </cols>
  <sheetData>
    <row r="1" spans="1:19">
      <c r="A1" s="1047"/>
      <c r="B1" s="1067" t="str">
        <f>TCOS!F9</f>
        <v>West Virginia Transmission Company</v>
      </c>
      <c r="C1" s="1048"/>
      <c r="D1" s="1048"/>
      <c r="E1" s="1048"/>
      <c r="F1" s="1030"/>
      <c r="G1" s="1024"/>
      <c r="H1" s="1024"/>
      <c r="I1" s="1024"/>
      <c r="J1" s="1024"/>
      <c r="K1" s="1024"/>
      <c r="L1" s="1024"/>
      <c r="M1" s="1030"/>
      <c r="N1" s="1030"/>
      <c r="O1" s="1024"/>
      <c r="P1" s="1030"/>
      <c r="Q1" s="1030"/>
      <c r="R1" s="1030"/>
      <c r="S1" s="1024"/>
    </row>
    <row r="2" spans="1:19">
      <c r="A2" s="1047"/>
      <c r="B2" s="1029" t="s">
        <v>688</v>
      </c>
      <c r="C2" s="1048"/>
      <c r="D2" s="1048"/>
      <c r="E2" s="1048"/>
      <c r="F2" s="1048"/>
      <c r="G2" s="1023"/>
      <c r="H2" s="1023"/>
      <c r="I2" s="1023"/>
      <c r="J2" s="1023"/>
      <c r="K2" s="1023"/>
      <c r="L2" s="1023"/>
      <c r="M2" s="1030"/>
      <c r="N2" s="1030"/>
      <c r="O2" s="1023"/>
      <c r="P2" s="1030"/>
      <c r="Q2" s="1030"/>
      <c r="R2" s="1030"/>
      <c r="S2" s="1023"/>
    </row>
    <row r="3" spans="1:19">
      <c r="A3" s="1047"/>
      <c r="B3" s="1029" t="str">
        <f>"PERIOD ENDED DECEMBER 31, "&amp;TCOS!L4</f>
        <v>PERIOD ENDED DECEMBER 31, 2022</v>
      </c>
      <c r="C3" s="1048"/>
      <c r="D3" s="1048"/>
      <c r="E3" s="1048"/>
      <c r="F3" s="1048"/>
      <c r="G3" s="1048"/>
      <c r="H3" s="1048"/>
      <c r="I3" s="1048"/>
      <c r="J3" s="1048"/>
      <c r="K3" s="1048"/>
      <c r="L3" s="1048"/>
      <c r="M3" s="1030"/>
      <c r="N3" s="1030"/>
      <c r="O3" s="1030"/>
      <c r="P3" s="1030"/>
      <c r="Q3" s="1030"/>
      <c r="R3" s="1030"/>
      <c r="S3" s="1030"/>
    </row>
    <row r="4" spans="1:19">
      <c r="A4" s="1047"/>
      <c r="B4" s="1037"/>
      <c r="C4" s="1048"/>
      <c r="D4" s="1048"/>
      <c r="E4" s="1048"/>
      <c r="F4" s="1048"/>
      <c r="G4" s="1020" t="s">
        <v>689</v>
      </c>
      <c r="H4" s="1048"/>
      <c r="I4" s="1048"/>
      <c r="J4" s="1048"/>
      <c r="K4" s="1048"/>
      <c r="L4" s="1048"/>
      <c r="M4" s="1030"/>
      <c r="N4" s="1030"/>
      <c r="O4" s="1030"/>
      <c r="P4" s="1030"/>
      <c r="Q4" s="1030"/>
      <c r="R4" s="1030"/>
      <c r="S4" s="1030"/>
    </row>
    <row r="5" spans="1:19">
      <c r="A5" s="1047"/>
      <c r="B5" s="1031"/>
      <c r="C5" s="1048"/>
      <c r="D5" s="1048"/>
      <c r="E5" s="1048"/>
      <c r="F5" s="1048"/>
      <c r="G5" s="1048"/>
      <c r="H5" s="1048"/>
      <c r="I5" s="1048"/>
      <c r="J5" s="1048"/>
      <c r="K5" s="1048"/>
      <c r="L5" s="1048"/>
      <c r="M5" s="1030"/>
      <c r="N5" s="1030"/>
      <c r="O5" s="1030"/>
      <c r="P5" s="1030"/>
      <c r="Q5" s="1030"/>
      <c r="R5" s="1030"/>
      <c r="S5" s="1030"/>
    </row>
    <row r="6" spans="1:19">
      <c r="A6" s="1047"/>
      <c r="B6" s="1030"/>
      <c r="C6" s="1048"/>
      <c r="D6" s="1048"/>
      <c r="E6" s="1048"/>
      <c r="F6" s="1048"/>
      <c r="G6" s="1048"/>
      <c r="H6" s="1020"/>
      <c r="I6" s="1020"/>
      <c r="J6" s="1020"/>
      <c r="K6" s="1020"/>
      <c r="L6" s="1020"/>
      <c r="M6" s="1030"/>
      <c r="N6" s="1030"/>
      <c r="O6" s="1030"/>
      <c r="P6" s="1030"/>
      <c r="Q6" s="1030"/>
      <c r="R6" s="1030"/>
      <c r="S6" s="1030"/>
    </row>
    <row r="7" spans="1:19">
      <c r="A7" s="1047"/>
      <c r="B7" s="1030"/>
      <c r="C7" s="1048"/>
      <c r="D7" s="1048"/>
      <c r="E7" s="1048"/>
      <c r="F7" s="1048"/>
      <c r="G7" s="1048"/>
      <c r="H7" s="1048"/>
      <c r="I7" s="1048"/>
      <c r="J7" s="1048"/>
      <c r="K7" s="1048"/>
      <c r="L7" s="1048"/>
      <c r="M7" s="1030"/>
      <c r="N7" s="1030"/>
      <c r="O7" s="1030"/>
      <c r="P7" s="1030"/>
      <c r="Q7" s="1030"/>
      <c r="R7" s="1030"/>
      <c r="S7" s="1030"/>
    </row>
    <row r="8" spans="1:19">
      <c r="A8" s="1047"/>
      <c r="B8" s="1032" t="s">
        <v>645</v>
      </c>
      <c r="C8" s="1049" t="s">
        <v>646</v>
      </c>
      <c r="D8" s="1049" t="s">
        <v>647</v>
      </c>
      <c r="E8" s="1049" t="s">
        <v>648</v>
      </c>
      <c r="F8" s="1049" t="s">
        <v>649</v>
      </c>
      <c r="G8" s="1049" t="s">
        <v>650</v>
      </c>
      <c r="H8" s="1049"/>
      <c r="I8" s="1049" t="s">
        <v>651</v>
      </c>
      <c r="J8" s="1049" t="s">
        <v>652</v>
      </c>
      <c r="K8" s="1049" t="s">
        <v>653</v>
      </c>
      <c r="L8" s="1049"/>
      <c r="M8" s="1032" t="s">
        <v>654</v>
      </c>
      <c r="N8" s="1032" t="s">
        <v>655</v>
      </c>
      <c r="O8" s="1032" t="s">
        <v>656</v>
      </c>
      <c r="P8" s="1030"/>
      <c r="Q8" s="1032" t="s">
        <v>657</v>
      </c>
      <c r="R8" s="1032" t="s">
        <v>658</v>
      </c>
      <c r="S8" s="1032" t="s">
        <v>659</v>
      </c>
    </row>
    <row r="9" spans="1:19">
      <c r="A9" s="1047"/>
      <c r="B9" s="1030"/>
      <c r="C9" s="1048"/>
      <c r="D9" s="1048"/>
      <c r="E9" s="1048"/>
      <c r="F9" s="1048"/>
      <c r="G9" s="1048"/>
      <c r="H9" s="1048"/>
      <c r="I9" s="1048"/>
      <c r="J9" s="1048"/>
      <c r="K9" s="1048"/>
      <c r="L9" s="1048"/>
      <c r="M9" s="1030"/>
      <c r="N9" s="1030"/>
      <c r="O9" s="1030"/>
      <c r="P9" s="1030"/>
      <c r="Q9" s="1030"/>
      <c r="R9" s="1030"/>
      <c r="S9" s="1030"/>
    </row>
    <row r="10" spans="1:19">
      <c r="A10" s="1047"/>
      <c r="B10" s="1030"/>
      <c r="C10" s="1050" t="s">
        <v>660</v>
      </c>
      <c r="D10" s="1050"/>
      <c r="E10" s="1051" t="s">
        <v>661</v>
      </c>
      <c r="F10" s="1050"/>
      <c r="G10" s="1022" t="s">
        <v>662</v>
      </c>
      <c r="H10" s="1022"/>
      <c r="I10" s="1052" t="s">
        <v>663</v>
      </c>
      <c r="J10" s="1050"/>
      <c r="K10" s="1050"/>
      <c r="L10" s="1022"/>
      <c r="M10" s="1033" t="str">
        <f>"FUNCTIONALIZATION 12/31/"&amp;TCOS!L4-1</f>
        <v>FUNCTIONALIZATION 12/31/2021</v>
      </c>
      <c r="N10" s="1033"/>
      <c r="O10" s="1033"/>
      <c r="P10" s="1030"/>
      <c r="Q10" s="1033" t="str">
        <f>"FUNCTIONALIZATION 12/31/"&amp;TCOS!L4</f>
        <v>FUNCTIONALIZATION 12/31/2022</v>
      </c>
      <c r="R10" s="1033"/>
      <c r="S10" s="1033"/>
    </row>
    <row r="11" spans="1:19">
      <c r="A11" s="1047"/>
      <c r="B11" s="1030"/>
      <c r="C11" s="1053"/>
      <c r="D11" s="1053"/>
      <c r="E11" s="1048"/>
      <c r="F11" s="1048"/>
      <c r="G11" s="1022" t="s">
        <v>664</v>
      </c>
      <c r="H11" s="1022"/>
      <c r="I11" s="1053"/>
      <c r="J11" s="1053"/>
      <c r="K11" s="1053"/>
      <c r="L11" s="1022"/>
      <c r="M11" s="1036"/>
      <c r="N11" s="1036"/>
      <c r="O11" s="1036"/>
      <c r="P11" s="1030"/>
      <c r="Q11" s="1036"/>
      <c r="R11" s="1036"/>
      <c r="S11" s="1036"/>
    </row>
    <row r="12" spans="1:19">
      <c r="A12" s="1047"/>
      <c r="B12" s="1030"/>
      <c r="C12" s="1022" t="s">
        <v>665</v>
      </c>
      <c r="D12" s="1022" t="s">
        <v>665</v>
      </c>
      <c r="E12" s="1022" t="s">
        <v>665</v>
      </c>
      <c r="F12" s="1022" t="s">
        <v>665</v>
      </c>
      <c r="G12" s="1022" t="s">
        <v>666</v>
      </c>
      <c r="H12" s="1022"/>
      <c r="I12" s="1048"/>
      <c r="J12" s="1048"/>
      <c r="K12" s="1048"/>
      <c r="L12" s="1022"/>
      <c r="M12" s="1030"/>
      <c r="N12" s="1030"/>
      <c r="O12" s="1030"/>
      <c r="P12" s="1030"/>
      <c r="Q12" s="1030"/>
      <c r="R12" s="1030"/>
      <c r="S12" s="1030"/>
    </row>
    <row r="13" spans="1:19">
      <c r="A13" s="1047"/>
      <c r="B13" s="1032" t="s">
        <v>667</v>
      </c>
      <c r="C13" s="1049" t="str">
        <f>"OF 12-31-"&amp;TCOS!L4-1</f>
        <v>OF 12-31-2021</v>
      </c>
      <c r="D13" s="1049" t="str">
        <f>"OF 12-31-"&amp;TCOS!L4</f>
        <v>OF 12-31-2022</v>
      </c>
      <c r="E13" s="1049" t="str">
        <f>"OF 12-31-"&amp;TCOS!L4-1</f>
        <v>OF 12-31-2021</v>
      </c>
      <c r="F13" s="1049" t="str">
        <f>"OF 12-31-"&amp;TCOS!L4</f>
        <v>OF 12-31-2022</v>
      </c>
      <c r="G13" s="1049" t="s">
        <v>668</v>
      </c>
      <c r="H13" s="1049"/>
      <c r="I13" s="1049" t="s">
        <v>669</v>
      </c>
      <c r="J13" s="1049" t="s">
        <v>670</v>
      </c>
      <c r="K13" s="1049" t="s">
        <v>671</v>
      </c>
      <c r="L13" s="1049"/>
      <c r="M13" s="1032" t="s">
        <v>669</v>
      </c>
      <c r="N13" s="1032" t="s">
        <v>670</v>
      </c>
      <c r="O13" s="1032" t="s">
        <v>671</v>
      </c>
      <c r="P13" s="1030"/>
      <c r="Q13" s="1032" t="s">
        <v>669</v>
      </c>
      <c r="R13" s="1032" t="s">
        <v>670</v>
      </c>
      <c r="S13" s="1032" t="s">
        <v>671</v>
      </c>
    </row>
    <row r="14" spans="1:19">
      <c r="A14" s="1047"/>
      <c r="B14" s="1030"/>
      <c r="C14" s="1048"/>
      <c r="D14" s="1048"/>
      <c r="E14" s="1048"/>
      <c r="F14" s="1048"/>
      <c r="G14" s="1048"/>
      <c r="H14" s="1048"/>
      <c r="I14" s="1048"/>
      <c r="J14" s="1048"/>
      <c r="K14" s="1048"/>
      <c r="L14" s="1048"/>
      <c r="M14" s="1030"/>
      <c r="N14" s="1030"/>
      <c r="O14" s="1030"/>
      <c r="P14" s="1030"/>
      <c r="Q14" s="1030"/>
      <c r="R14" s="1030"/>
      <c r="S14" s="1030"/>
    </row>
    <row r="15" spans="1:19">
      <c r="A15" s="1054">
        <v>1</v>
      </c>
      <c r="B15" s="1042" t="s">
        <v>690</v>
      </c>
      <c r="C15" s="1038"/>
      <c r="D15" s="1038"/>
      <c r="E15" s="1038"/>
      <c r="F15" s="1039"/>
      <c r="G15" s="1038"/>
      <c r="H15" s="1038"/>
      <c r="I15" s="1038"/>
      <c r="J15" s="1038"/>
      <c r="K15" s="1038"/>
      <c r="L15" s="1038"/>
      <c r="M15" s="1038"/>
      <c r="N15" s="1038"/>
      <c r="O15" s="1038"/>
      <c r="P15" s="1038"/>
      <c r="Q15" s="1038"/>
      <c r="R15" s="1038"/>
      <c r="S15" s="1038"/>
    </row>
    <row r="16" spans="1:19">
      <c r="A16" s="1054"/>
      <c r="B16" s="1038"/>
      <c r="C16" s="1038"/>
      <c r="D16" s="1038"/>
      <c r="E16" s="1038"/>
      <c r="F16" s="1038"/>
      <c r="G16" s="1038"/>
      <c r="H16" s="1038"/>
      <c r="I16" s="1038"/>
      <c r="J16" s="1038"/>
      <c r="K16" s="1038"/>
      <c r="L16" s="1038"/>
      <c r="M16" s="1038"/>
      <c r="N16" s="1038"/>
      <c r="O16" s="1038"/>
      <c r="P16" s="1038"/>
      <c r="Q16" s="1038"/>
      <c r="R16" s="1038"/>
      <c r="S16" s="1038"/>
    </row>
    <row r="17" spans="1:19">
      <c r="A17" s="1060">
        <v>2.0099999999999998</v>
      </c>
      <c r="B17" s="1026" t="s">
        <v>867</v>
      </c>
      <c r="C17" s="1038">
        <f t="shared" ref="C17:C26" si="0">SUM(M17:O17)</f>
        <v>8450.02</v>
      </c>
      <c r="D17" s="1038">
        <f t="shared" ref="D17:D26" si="1">SUM(Q17:S17)</f>
        <v>19366.12</v>
      </c>
      <c r="E17" s="1038"/>
      <c r="F17" s="1038"/>
      <c r="G17" s="1038">
        <f t="shared" ref="G17:G26" si="2">ROUND(SUM(C17:F17)/2,0)</f>
        <v>13908</v>
      </c>
      <c r="H17" s="1038"/>
      <c r="I17" s="1038">
        <f t="shared" ref="I17:K27" si="3">(M17+Q17)/2</f>
        <v>0</v>
      </c>
      <c r="J17" s="1038">
        <f t="shared" si="3"/>
        <v>13908.07</v>
      </c>
      <c r="K17" s="1038">
        <f t="shared" si="3"/>
        <v>0</v>
      </c>
      <c r="L17" s="1038"/>
      <c r="M17" s="1026"/>
      <c r="N17" s="1026">
        <v>8450.02</v>
      </c>
      <c r="O17" s="1026"/>
      <c r="P17" s="1038"/>
      <c r="Q17" s="1026"/>
      <c r="R17" s="1026">
        <v>19366.12</v>
      </c>
      <c r="S17" s="1026"/>
    </row>
    <row r="18" spans="1:19">
      <c r="A18" s="1060">
        <f>A17+0.01</f>
        <v>2.0199999999999996</v>
      </c>
      <c r="B18" s="1026" t="s">
        <v>855</v>
      </c>
      <c r="C18" s="1038">
        <f t="shared" si="0"/>
        <v>0</v>
      </c>
      <c r="D18" s="1038">
        <f t="shared" si="1"/>
        <v>0</v>
      </c>
      <c r="E18" s="1038"/>
      <c r="F18" s="1038"/>
      <c r="G18" s="1038">
        <f t="shared" si="2"/>
        <v>0</v>
      </c>
      <c r="H18" s="1038"/>
      <c r="I18" s="1038">
        <f t="shared" si="3"/>
        <v>0</v>
      </c>
      <c r="J18" s="1038">
        <f t="shared" si="3"/>
        <v>0</v>
      </c>
      <c r="K18" s="1038">
        <f t="shared" si="3"/>
        <v>0</v>
      </c>
      <c r="L18" s="1038"/>
      <c r="M18" s="1026"/>
      <c r="N18" s="1026">
        <v>0</v>
      </c>
      <c r="O18" s="1026"/>
      <c r="P18" s="1038"/>
      <c r="Q18" s="1026"/>
      <c r="R18" s="1026">
        <v>0</v>
      </c>
      <c r="S18" s="1026"/>
    </row>
    <row r="19" spans="1:19">
      <c r="A19" s="1060">
        <f t="shared" ref="A19:A34" si="4">A18+0.01</f>
        <v>2.0299999999999994</v>
      </c>
      <c r="B19" s="1026" t="s">
        <v>874</v>
      </c>
      <c r="C19" s="1038">
        <f t="shared" si="0"/>
        <v>69943.100000000006</v>
      </c>
      <c r="D19" s="1038">
        <f t="shared" si="1"/>
        <v>1187071.47</v>
      </c>
      <c r="E19" s="1038"/>
      <c r="F19" s="1038"/>
      <c r="G19" s="1038">
        <f t="shared" si="2"/>
        <v>628507</v>
      </c>
      <c r="H19" s="1038"/>
      <c r="I19" s="1038">
        <f t="shared" si="3"/>
        <v>0</v>
      </c>
      <c r="J19" s="1038">
        <f t="shared" si="3"/>
        <v>628507.28500000003</v>
      </c>
      <c r="K19" s="1038">
        <f t="shared" si="3"/>
        <v>0</v>
      </c>
      <c r="L19" s="1038"/>
      <c r="M19" s="1026"/>
      <c r="N19" s="1026">
        <v>69943.100000000006</v>
      </c>
      <c r="O19" s="1026"/>
      <c r="P19" s="1038"/>
      <c r="Q19" s="1026"/>
      <c r="R19" s="1026">
        <v>1187071.47</v>
      </c>
      <c r="S19" s="1026"/>
    </row>
    <row r="20" spans="1:19">
      <c r="A20" s="1060">
        <f t="shared" si="4"/>
        <v>2.0399999999999991</v>
      </c>
      <c r="B20" s="1026" t="s">
        <v>953</v>
      </c>
      <c r="C20" s="1038">
        <f>SUM(M20:O20)</f>
        <v>-15472.36</v>
      </c>
      <c r="D20" s="1038">
        <f>SUM(Q20:S20)</f>
        <v>-39177.32</v>
      </c>
      <c r="E20" s="1038"/>
      <c r="F20" s="1038"/>
      <c r="G20" s="1038">
        <f>ROUND(SUM(C20:F20)/2,0)</f>
        <v>-27325</v>
      </c>
      <c r="H20" s="1038"/>
      <c r="I20" s="1038">
        <f>(M20+Q20)/2</f>
        <v>0</v>
      </c>
      <c r="J20" s="1038">
        <f>(N20+R20)/2</f>
        <v>-27324.84</v>
      </c>
      <c r="K20" s="1038">
        <f>(O20+S20)/2</f>
        <v>0</v>
      </c>
      <c r="L20" s="1038"/>
      <c r="M20" s="1026"/>
      <c r="N20" s="1026">
        <v>-15472.36</v>
      </c>
      <c r="O20" s="1026"/>
      <c r="P20" s="1038"/>
      <c r="Q20" s="1026"/>
      <c r="R20" s="1026">
        <v>-39177.32</v>
      </c>
      <c r="S20" s="1026"/>
    </row>
    <row r="21" spans="1:19">
      <c r="A21" s="1060">
        <f t="shared" si="4"/>
        <v>2.0499999999999989</v>
      </c>
      <c r="B21" s="1026" t="s">
        <v>875</v>
      </c>
      <c r="C21" s="1038">
        <f t="shared" si="0"/>
        <v>86771.82</v>
      </c>
      <c r="D21" s="1038">
        <f t="shared" si="1"/>
        <v>-0.18</v>
      </c>
      <c r="E21" s="1038"/>
      <c r="F21" s="1038"/>
      <c r="G21" s="1038">
        <f t="shared" si="2"/>
        <v>43386</v>
      </c>
      <c r="H21" s="1038"/>
      <c r="I21" s="1038">
        <f t="shared" si="3"/>
        <v>0</v>
      </c>
      <c r="J21" s="1038">
        <f t="shared" si="3"/>
        <v>43385.820000000007</v>
      </c>
      <c r="K21" s="1038">
        <f t="shared" si="3"/>
        <v>0</v>
      </c>
      <c r="L21" s="1038"/>
      <c r="M21" s="1026"/>
      <c r="N21" s="1026">
        <v>86771.82</v>
      </c>
      <c r="O21" s="1026"/>
      <c r="P21" s="1038"/>
      <c r="Q21" s="1026"/>
      <c r="R21" s="1026">
        <v>-0.18</v>
      </c>
      <c r="S21" s="1026"/>
    </row>
    <row r="22" spans="1:19">
      <c r="A22" s="1060">
        <f t="shared" si="4"/>
        <v>2.0599999999999987</v>
      </c>
      <c r="B22" s="1026" t="s">
        <v>954</v>
      </c>
      <c r="C22" s="1038">
        <f t="shared" si="0"/>
        <v>20069.75</v>
      </c>
      <c r="D22" s="1038">
        <f t="shared" si="1"/>
        <v>52059.15</v>
      </c>
      <c r="E22" s="1038"/>
      <c r="F22" s="1038"/>
      <c r="G22" s="1038">
        <f t="shared" si="2"/>
        <v>36064</v>
      </c>
      <c r="H22" s="1038"/>
      <c r="I22" s="1038">
        <f t="shared" si="3"/>
        <v>0</v>
      </c>
      <c r="J22" s="1038">
        <f t="shared" si="3"/>
        <v>36064.449999999997</v>
      </c>
      <c r="K22" s="1038">
        <f t="shared" si="3"/>
        <v>0</v>
      </c>
      <c r="L22" s="1038"/>
      <c r="M22" s="1026"/>
      <c r="N22" s="1026">
        <v>20069.75</v>
      </c>
      <c r="O22" s="1026"/>
      <c r="P22" s="1038"/>
      <c r="Q22" s="1026"/>
      <c r="R22" s="1026">
        <v>52059.15</v>
      </c>
      <c r="S22" s="1026"/>
    </row>
    <row r="23" spans="1:19">
      <c r="A23" s="1060">
        <f t="shared" si="4"/>
        <v>2.0699999999999985</v>
      </c>
      <c r="B23" s="1026" t="s">
        <v>679</v>
      </c>
      <c r="C23" s="1038">
        <f t="shared" si="0"/>
        <v>10129725.279999999</v>
      </c>
      <c r="D23" s="1038">
        <f t="shared" si="1"/>
        <v>10973690.57</v>
      </c>
      <c r="E23" s="1038"/>
      <c r="F23" s="1038"/>
      <c r="G23" s="1038">
        <f t="shared" si="2"/>
        <v>10551708</v>
      </c>
      <c r="H23" s="1038"/>
      <c r="I23" s="1038">
        <f t="shared" si="3"/>
        <v>0</v>
      </c>
      <c r="J23" s="1038">
        <f t="shared" si="3"/>
        <v>10551707.925000001</v>
      </c>
      <c r="K23" s="1038">
        <f t="shared" si="3"/>
        <v>0</v>
      </c>
      <c r="L23" s="1038"/>
      <c r="M23" s="1026"/>
      <c r="N23" s="1026">
        <v>10129725.279999999</v>
      </c>
      <c r="O23" s="1026"/>
      <c r="P23" s="1038"/>
      <c r="Q23" s="1026"/>
      <c r="R23" s="1026">
        <v>10973690.57</v>
      </c>
      <c r="S23" s="1026"/>
    </row>
    <row r="24" spans="1:19">
      <c r="A24" s="1060">
        <f t="shared" si="4"/>
        <v>2.0799999999999983</v>
      </c>
      <c r="B24" s="1026" t="s">
        <v>876</v>
      </c>
      <c r="C24" s="1038">
        <f t="shared" si="0"/>
        <v>0</v>
      </c>
      <c r="D24" s="1038">
        <f t="shared" si="1"/>
        <v>0</v>
      </c>
      <c r="E24" s="1038"/>
      <c r="F24" s="1038"/>
      <c r="G24" s="1038">
        <f t="shared" si="2"/>
        <v>0</v>
      </c>
      <c r="H24" s="1038"/>
      <c r="I24" s="1038">
        <f t="shared" si="3"/>
        <v>0</v>
      </c>
      <c r="J24" s="1038">
        <f t="shared" si="3"/>
        <v>0</v>
      </c>
      <c r="K24" s="1038">
        <f t="shared" si="3"/>
        <v>0</v>
      </c>
      <c r="L24" s="1038"/>
      <c r="M24" s="1026"/>
      <c r="N24" s="1026">
        <v>0</v>
      </c>
      <c r="O24" s="1026"/>
      <c r="P24" s="1038"/>
      <c r="Q24" s="1026"/>
      <c r="R24" s="1026">
        <v>0</v>
      </c>
      <c r="S24" s="1026"/>
    </row>
    <row r="25" spans="1:19">
      <c r="A25" s="1060">
        <f t="shared" si="4"/>
        <v>2.0899999999999981</v>
      </c>
      <c r="B25" s="1026" t="s">
        <v>882</v>
      </c>
      <c r="C25" s="1038">
        <f t="shared" si="0"/>
        <v>0</v>
      </c>
      <c r="D25" s="1038">
        <f t="shared" si="1"/>
        <v>0</v>
      </c>
      <c r="E25" s="1038"/>
      <c r="F25" s="1038"/>
      <c r="G25" s="1038">
        <f t="shared" si="2"/>
        <v>0</v>
      </c>
      <c r="H25" s="1038"/>
      <c r="I25" s="1038">
        <f t="shared" si="3"/>
        <v>0</v>
      </c>
      <c r="J25" s="1038">
        <f t="shared" si="3"/>
        <v>0</v>
      </c>
      <c r="K25" s="1038">
        <f t="shared" si="3"/>
        <v>0</v>
      </c>
      <c r="L25" s="1038"/>
      <c r="M25" s="1026"/>
      <c r="N25" s="1026">
        <v>0</v>
      </c>
      <c r="O25" s="1026"/>
      <c r="P25" s="1038"/>
      <c r="Q25" s="1026"/>
      <c r="R25" s="1026">
        <v>0</v>
      </c>
      <c r="S25" s="1026"/>
    </row>
    <row r="26" spans="1:19">
      <c r="A26" s="1060">
        <f t="shared" si="4"/>
        <v>2.0999999999999979</v>
      </c>
      <c r="B26" s="1026" t="s">
        <v>877</v>
      </c>
      <c r="C26" s="1038">
        <f t="shared" si="0"/>
        <v>0</v>
      </c>
      <c r="D26" s="1038">
        <f t="shared" si="1"/>
        <v>0</v>
      </c>
      <c r="E26" s="1038"/>
      <c r="F26" s="1038"/>
      <c r="G26" s="1038">
        <f t="shared" si="2"/>
        <v>0</v>
      </c>
      <c r="H26" s="1038"/>
      <c r="I26" s="1038">
        <f t="shared" si="3"/>
        <v>0</v>
      </c>
      <c r="J26" s="1038">
        <f t="shared" si="3"/>
        <v>0</v>
      </c>
      <c r="K26" s="1038">
        <f t="shared" si="3"/>
        <v>0</v>
      </c>
      <c r="L26" s="1038"/>
      <c r="M26" s="1026"/>
      <c r="N26" s="1026">
        <v>0</v>
      </c>
      <c r="O26" s="1026"/>
      <c r="P26" s="1038"/>
      <c r="Q26" s="1026"/>
      <c r="R26" s="1026">
        <v>0</v>
      </c>
      <c r="S26" s="1026"/>
    </row>
    <row r="27" spans="1:19">
      <c r="A27" s="1060">
        <f t="shared" si="4"/>
        <v>2.1099999999999977</v>
      </c>
      <c r="B27" s="1378" t="s">
        <v>978</v>
      </c>
      <c r="C27" s="1378">
        <f>SUM(M27:O27)</f>
        <v>49901670.546314746</v>
      </c>
      <c r="D27" s="1378">
        <f>SUM(Q27:S27)</f>
        <v>37213232.933414742</v>
      </c>
      <c r="E27" s="1379"/>
      <c r="F27" s="1379"/>
      <c r="G27" s="1380">
        <f>ROUND(SUM(C27:F27)/2,0)</f>
        <v>43557452</v>
      </c>
      <c r="H27" s="1380"/>
      <c r="I27" s="1380">
        <f t="shared" si="3"/>
        <v>0</v>
      </c>
      <c r="J27" s="1380">
        <f t="shared" si="3"/>
        <v>43557451.739864744</v>
      </c>
      <c r="K27" s="1380">
        <f t="shared" si="3"/>
        <v>0</v>
      </c>
      <c r="L27" s="1038"/>
      <c r="M27" s="1026"/>
      <c r="N27" s="1026">
        <v>49901670.546314746</v>
      </c>
      <c r="O27" s="1026"/>
      <c r="P27" s="1038"/>
      <c r="Q27" s="1026"/>
      <c r="R27" s="1026">
        <v>37213232.933414742</v>
      </c>
      <c r="S27" s="1026"/>
    </row>
    <row r="28" spans="1:19">
      <c r="A28" s="1060">
        <f t="shared" si="4"/>
        <v>2.1199999999999974</v>
      </c>
      <c r="B28" s="1378" t="s">
        <v>979</v>
      </c>
      <c r="C28" s="1378">
        <f>-E28</f>
        <v>-49901670.546314746</v>
      </c>
      <c r="D28" s="1378">
        <f>-F28</f>
        <v>-37213232.933414742</v>
      </c>
      <c r="E28" s="1379">
        <f>C27</f>
        <v>49901670.546314746</v>
      </c>
      <c r="F28" s="1379">
        <f>D27</f>
        <v>37213232.933414742</v>
      </c>
      <c r="G28" s="1380">
        <f>ROUND(SUM(C28:F28)/2,0)</f>
        <v>0</v>
      </c>
      <c r="H28" s="1380"/>
      <c r="I28" s="1380"/>
      <c r="J28" s="1380"/>
      <c r="K28" s="1380"/>
      <c r="L28" s="1038"/>
      <c r="M28" s="1026"/>
      <c r="N28" s="1026"/>
      <c r="O28" s="1026"/>
      <c r="P28" s="1038"/>
      <c r="Q28" s="1026"/>
      <c r="R28" s="1026"/>
      <c r="S28" s="1026"/>
    </row>
    <row r="29" spans="1:19">
      <c r="A29" s="1060">
        <f t="shared" si="4"/>
        <v>2.1299999999999972</v>
      </c>
      <c r="B29" s="1026" t="s">
        <v>864</v>
      </c>
      <c r="C29" s="1026">
        <f t="shared" ref="C29:D34" si="5">-E29</f>
        <v>184190.51</v>
      </c>
      <c r="D29" s="1026">
        <f t="shared" si="5"/>
        <v>104866.43000000001</v>
      </c>
      <c r="E29" s="1038">
        <v>-184190.51</v>
      </c>
      <c r="F29" s="1038">
        <v>-104866.43000000001</v>
      </c>
      <c r="G29" s="1038">
        <f t="shared" ref="G29:G34" si="6">ROUND(SUM(C29:F29)/2,0)</f>
        <v>0</v>
      </c>
      <c r="H29" s="1038"/>
      <c r="I29" s="1038"/>
      <c r="J29" s="1038"/>
      <c r="K29" s="1038"/>
      <c r="L29" s="1038"/>
      <c r="M29" s="1038"/>
      <c r="N29" s="1038"/>
      <c r="O29" s="1038"/>
      <c r="P29" s="1038"/>
      <c r="Q29" s="1038"/>
      <c r="R29" s="1038"/>
      <c r="S29" s="1038"/>
    </row>
    <row r="30" spans="1:19">
      <c r="A30" s="1060">
        <f t="shared" si="4"/>
        <v>2.139999999999997</v>
      </c>
      <c r="B30" s="1026" t="s">
        <v>878</v>
      </c>
      <c r="C30" s="1026">
        <f t="shared" si="5"/>
        <v>0</v>
      </c>
      <c r="D30" s="1026">
        <f t="shared" si="5"/>
        <v>0.01</v>
      </c>
      <c r="E30" s="1038">
        <v>0</v>
      </c>
      <c r="F30" s="1038">
        <v>-0.01</v>
      </c>
      <c r="G30" s="1038">
        <f t="shared" si="6"/>
        <v>0</v>
      </c>
      <c r="H30" s="1038"/>
      <c r="I30" s="1038"/>
      <c r="J30" s="1038"/>
      <c r="K30" s="1038"/>
      <c r="L30" s="1038"/>
      <c r="M30" s="1038"/>
      <c r="N30" s="1038"/>
      <c r="O30" s="1038"/>
      <c r="P30" s="1038"/>
      <c r="Q30" s="1038"/>
      <c r="R30" s="1038"/>
      <c r="S30" s="1038"/>
    </row>
    <row r="31" spans="1:19">
      <c r="A31" s="1060">
        <f t="shared" si="4"/>
        <v>2.1499999999999968</v>
      </c>
      <c r="B31" s="1026" t="s">
        <v>879</v>
      </c>
      <c r="C31" s="1026">
        <f t="shared" si="5"/>
        <v>18599276.920000002</v>
      </c>
      <c r="D31" s="1026">
        <f t="shared" si="5"/>
        <v>18725963.91</v>
      </c>
      <c r="E31" s="1038">
        <v>-18599276.920000002</v>
      </c>
      <c r="F31" s="1038">
        <v>-18725963.91</v>
      </c>
      <c r="G31" s="1038">
        <f t="shared" si="6"/>
        <v>0</v>
      </c>
      <c r="H31" s="1038"/>
      <c r="I31" s="1038"/>
      <c r="J31" s="1038"/>
      <c r="K31" s="1038"/>
      <c r="L31" s="1038"/>
      <c r="M31" s="1038"/>
      <c r="N31" s="1038"/>
      <c r="O31" s="1038"/>
      <c r="P31" s="1038"/>
      <c r="Q31" s="1038"/>
      <c r="R31" s="1038"/>
      <c r="S31" s="1038"/>
    </row>
    <row r="32" spans="1:19">
      <c r="A32" s="1060">
        <f t="shared" si="4"/>
        <v>2.1599999999999966</v>
      </c>
      <c r="B32" s="1026" t="s">
        <v>984</v>
      </c>
      <c r="C32" s="1026">
        <f t="shared" si="5"/>
        <v>3168.61</v>
      </c>
      <c r="D32" s="1026">
        <f t="shared" si="5"/>
        <v>3168.61</v>
      </c>
      <c r="E32" s="1038">
        <v>-3168.61</v>
      </c>
      <c r="F32" s="1038">
        <v>-3168.61</v>
      </c>
      <c r="G32" s="1038">
        <f t="shared" si="6"/>
        <v>0</v>
      </c>
      <c r="H32" s="1038"/>
      <c r="I32" s="1038"/>
      <c r="J32" s="1038"/>
      <c r="K32" s="1038"/>
      <c r="L32" s="1038"/>
      <c r="M32" s="1038"/>
      <c r="N32" s="1038"/>
      <c r="O32" s="1038"/>
      <c r="P32" s="1038"/>
      <c r="Q32" s="1038"/>
      <c r="R32" s="1038"/>
      <c r="S32" s="1038"/>
    </row>
    <row r="33" spans="1:256">
      <c r="A33" s="1060">
        <f t="shared" si="4"/>
        <v>2.1699999999999964</v>
      </c>
      <c r="B33" s="1026" t="s">
        <v>880</v>
      </c>
      <c r="C33" s="1026">
        <f t="shared" si="5"/>
        <v>0</v>
      </c>
      <c r="D33" s="1026">
        <f t="shared" si="5"/>
        <v>0</v>
      </c>
      <c r="E33" s="1038">
        <v>0</v>
      </c>
      <c r="F33" s="1038">
        <v>0</v>
      </c>
      <c r="G33" s="1038">
        <f t="shared" si="6"/>
        <v>0</v>
      </c>
      <c r="H33" s="1038"/>
      <c r="I33" s="1038"/>
      <c r="J33" s="1038"/>
      <c r="K33" s="1038"/>
      <c r="L33" s="1038"/>
      <c r="M33" s="1038"/>
      <c r="N33" s="1038"/>
      <c r="O33" s="1038"/>
      <c r="P33" s="1038"/>
      <c r="Q33" s="1038"/>
      <c r="R33" s="1038"/>
      <c r="S33" s="1038"/>
    </row>
    <row r="34" spans="1:256">
      <c r="A34" s="1060">
        <f t="shared" si="4"/>
        <v>2.1799999999999962</v>
      </c>
      <c r="B34" s="1026" t="s">
        <v>881</v>
      </c>
      <c r="C34" s="1026">
        <f t="shared" si="5"/>
        <v>0</v>
      </c>
      <c r="D34" s="1026">
        <f t="shared" si="5"/>
        <v>0</v>
      </c>
      <c r="E34" s="1038">
        <v>0</v>
      </c>
      <c r="F34" s="1038">
        <v>0</v>
      </c>
      <c r="G34" s="1038">
        <f t="shared" si="6"/>
        <v>0</v>
      </c>
      <c r="H34" s="1038"/>
      <c r="I34" s="1038"/>
      <c r="J34" s="1038"/>
      <c r="K34" s="1038"/>
      <c r="L34" s="1038"/>
      <c r="M34" s="1038"/>
      <c r="N34" s="1038"/>
      <c r="O34" s="1038"/>
      <c r="P34" s="1038"/>
      <c r="Q34" s="1038"/>
      <c r="R34" s="1038"/>
      <c r="S34" s="1038"/>
    </row>
    <row r="35" spans="1:256">
      <c r="A35" s="1054"/>
      <c r="B35" s="1038"/>
      <c r="C35" s="1038"/>
      <c r="D35" s="1038"/>
      <c r="E35" s="1038"/>
      <c r="F35" s="1038"/>
      <c r="G35" s="1038"/>
      <c r="H35" s="1038"/>
      <c r="I35" s="1038"/>
      <c r="J35" s="1038"/>
      <c r="K35" s="1038"/>
      <c r="L35" s="1038"/>
      <c r="M35" s="1038"/>
      <c r="N35" s="1038"/>
      <c r="O35" s="1038"/>
      <c r="P35" s="1038"/>
      <c r="Q35" s="1038"/>
      <c r="R35" s="1038"/>
      <c r="S35" s="1038"/>
    </row>
    <row r="36" spans="1:256" ht="13.5" thickBot="1">
      <c r="A36" s="1021">
        <v>3</v>
      </c>
      <c r="B36" s="1042" t="s">
        <v>691</v>
      </c>
      <c r="C36" s="1055">
        <f>SUM(C17:C35)</f>
        <v>29086123.649999999</v>
      </c>
      <c r="D36" s="1055">
        <f>SUM(D17:D35)</f>
        <v>31027008.770000003</v>
      </c>
      <c r="E36" s="1055">
        <f>SUM(E17:E35)</f>
        <v>31115034.506314747</v>
      </c>
      <c r="F36" s="1055">
        <f>SUM(F17:F35)</f>
        <v>18379233.973414745</v>
      </c>
      <c r="G36" s="1055">
        <f>SUM(G17:G35)</f>
        <v>54803700</v>
      </c>
      <c r="H36" s="1038"/>
      <c r="I36" s="1055">
        <f>SUM(I17:I35)</f>
        <v>0</v>
      </c>
      <c r="J36" s="1055">
        <f>SUM(J17:J35)</f>
        <v>54803700.449864745</v>
      </c>
      <c r="K36" s="1055">
        <f>SUM(K17:K35)</f>
        <v>0</v>
      </c>
      <c r="L36" s="1038"/>
      <c r="M36" s="1055">
        <f>SUM(M17:M35)</f>
        <v>0</v>
      </c>
      <c r="N36" s="1055">
        <f>SUM(N17:N35)</f>
        <v>60201158.156314746</v>
      </c>
      <c r="O36" s="1055">
        <f>SUM(O17:O35)</f>
        <v>0</v>
      </c>
      <c r="P36" s="1038"/>
      <c r="Q36" s="1055">
        <f>SUM(Q17:Q35)</f>
        <v>0</v>
      </c>
      <c r="R36" s="1055">
        <f>SUM(R17:R35)</f>
        <v>49406242.743414745</v>
      </c>
      <c r="S36" s="1055">
        <f>SUM(S17:S35)</f>
        <v>0</v>
      </c>
    </row>
    <row r="37" spans="1:256" s="1167" customFormat="1" ht="13.5" thickTop="1">
      <c r="A37" s="1022">
        <v>4</v>
      </c>
      <c r="B37" s="1030" t="s">
        <v>692</v>
      </c>
      <c r="C37" s="1245">
        <v>0</v>
      </c>
      <c r="D37" s="1245">
        <v>0</v>
      </c>
      <c r="E37" s="1245">
        <v>0</v>
      </c>
      <c r="F37" s="1245">
        <v>0</v>
      </c>
      <c r="G37" s="1245">
        <v>0</v>
      </c>
      <c r="I37" s="1245">
        <v>0</v>
      </c>
      <c r="J37" s="1245">
        <v>0</v>
      </c>
      <c r="K37" s="1245">
        <v>0</v>
      </c>
      <c r="M37" s="1245">
        <v>0</v>
      </c>
      <c r="N37" s="1245">
        <v>0</v>
      </c>
      <c r="O37" s="1245">
        <v>0</v>
      </c>
      <c r="Q37" s="1245">
        <v>0</v>
      </c>
      <c r="R37" s="1245">
        <v>0</v>
      </c>
      <c r="S37" s="1245">
        <v>0</v>
      </c>
      <c r="IV37" s="1245"/>
    </row>
    <row r="38" spans="1:256">
      <c r="I38" s="1056"/>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X92"/>
  <sheetViews>
    <sheetView workbookViewId="0">
      <selection activeCell="C1" sqref="C1:C1048576"/>
    </sheetView>
  </sheetViews>
  <sheetFormatPr defaultColWidth="10" defaultRowHeight="12"/>
  <cols>
    <col min="1" max="1" width="9.42578125" style="1320" customWidth="1"/>
    <col min="2" max="2" width="20.85546875" style="1321" customWidth="1"/>
    <col min="3" max="3" width="35.5703125" style="1320" customWidth="1"/>
    <col min="4" max="4" width="12.85546875" style="1320" customWidth="1"/>
    <col min="5" max="5" width="10.42578125" style="1320" customWidth="1"/>
    <col min="6" max="6" width="16.42578125" style="1320" customWidth="1"/>
    <col min="7" max="7" width="12" style="1320" customWidth="1"/>
    <col min="8" max="8" width="14.28515625" style="1320" bestFit="1" customWidth="1"/>
    <col min="9" max="9" width="18.85546875" style="1320" customWidth="1"/>
    <col min="10" max="10" width="15.5703125" style="1320" customWidth="1"/>
    <col min="11" max="11" width="16.140625" style="1320" customWidth="1"/>
    <col min="12" max="14" width="15" style="1320" customWidth="1"/>
    <col min="15" max="15" width="13.5703125" style="1320" customWidth="1"/>
    <col min="16" max="16" width="15" style="1320" customWidth="1"/>
    <col min="17" max="18" width="17.5703125" style="1320" customWidth="1"/>
    <col min="19" max="19" width="33" style="1320" customWidth="1"/>
    <col min="20" max="20" width="15" style="1320" customWidth="1"/>
    <col min="21" max="22" width="14.5703125" style="1320" bestFit="1" customWidth="1"/>
    <col min="23" max="23" width="10.5703125" style="1320" bestFit="1" customWidth="1"/>
    <col min="24" max="16384" width="10" style="1320"/>
  </cols>
  <sheetData>
    <row r="1" spans="1:24" ht="12.75">
      <c r="A1" s="1320" t="s">
        <v>888</v>
      </c>
      <c r="S1" s="1322"/>
    </row>
    <row r="2" spans="1:24" ht="12.75">
      <c r="A2" s="1382" t="s">
        <v>1002</v>
      </c>
      <c r="S2" s="1322"/>
      <c r="W2" s="1323"/>
    </row>
    <row r="3" spans="1:24" ht="12.75">
      <c r="A3" s="1382" t="s">
        <v>1003</v>
      </c>
      <c r="S3" s="1322"/>
      <c r="W3" s="1324"/>
    </row>
    <row r="4" spans="1:24">
      <c r="A4" s="1382" t="s">
        <v>1004</v>
      </c>
      <c r="G4" s="1325"/>
    </row>
    <row r="5" spans="1:24">
      <c r="A5" s="1382" t="s">
        <v>889</v>
      </c>
      <c r="I5" s="1326"/>
      <c r="J5" s="1326"/>
      <c r="Q5" s="1326"/>
      <c r="R5" s="1326"/>
    </row>
    <row r="6" spans="1:24">
      <c r="J6" s="1326"/>
      <c r="K6" s="1327"/>
      <c r="L6" s="1321"/>
      <c r="M6" s="1321"/>
      <c r="N6" s="1321"/>
      <c r="O6" s="1321"/>
      <c r="P6" s="1321"/>
      <c r="Q6" s="1321"/>
      <c r="R6" s="1321"/>
    </row>
    <row r="7" spans="1:24">
      <c r="B7" s="1328"/>
      <c r="C7" s="1328"/>
      <c r="D7" s="1328"/>
      <c r="E7" s="1328"/>
      <c r="F7" s="1328"/>
      <c r="G7" s="1328"/>
      <c r="H7" s="1328"/>
      <c r="I7" s="1328"/>
      <c r="J7" s="1328"/>
      <c r="K7" s="1328"/>
      <c r="L7" s="1328"/>
      <c r="M7" s="1328"/>
      <c r="N7" s="1328"/>
      <c r="O7" s="1328"/>
      <c r="P7" s="1328"/>
      <c r="Q7" s="1328"/>
      <c r="R7" s="1321"/>
    </row>
    <row r="8" spans="1:24">
      <c r="A8" s="1321" t="s">
        <v>440</v>
      </c>
      <c r="B8" s="1321" t="s">
        <v>441</v>
      </c>
      <c r="C8" s="1321" t="s">
        <v>442</v>
      </c>
      <c r="D8" s="1321" t="s">
        <v>443</v>
      </c>
      <c r="E8" s="1321" t="s">
        <v>444</v>
      </c>
      <c r="F8" s="1321" t="s">
        <v>445</v>
      </c>
      <c r="G8" s="1321" t="s">
        <v>446</v>
      </c>
      <c r="H8" s="1321" t="s">
        <v>447</v>
      </c>
      <c r="I8" s="1321" t="s">
        <v>890</v>
      </c>
      <c r="J8" s="1321" t="s">
        <v>891</v>
      </c>
      <c r="K8" s="1321" t="s">
        <v>450</v>
      </c>
      <c r="L8" s="1321" t="s">
        <v>451</v>
      </c>
      <c r="M8" s="1321" t="s">
        <v>452</v>
      </c>
      <c r="N8" s="1321" t="s">
        <v>31</v>
      </c>
      <c r="O8" s="1321" t="s">
        <v>99</v>
      </c>
      <c r="P8" s="1321" t="s">
        <v>144</v>
      </c>
      <c r="Q8" s="1321" t="s">
        <v>145</v>
      </c>
      <c r="R8" s="1321" t="s">
        <v>146</v>
      </c>
      <c r="S8" s="1321" t="s">
        <v>147</v>
      </c>
    </row>
    <row r="9" spans="1:24" ht="14.45" customHeight="1">
      <c r="B9" s="2"/>
      <c r="C9" s="2"/>
      <c r="D9" s="2"/>
      <c r="E9" s="2"/>
      <c r="I9" s="1527" t="s">
        <v>1088</v>
      </c>
      <c r="J9" s="1527"/>
      <c r="K9" s="1528" t="s">
        <v>892</v>
      </c>
      <c r="L9" s="1528"/>
      <c r="M9" s="1528"/>
      <c r="N9" s="1381"/>
      <c r="O9" s="1529" t="s">
        <v>893</v>
      </c>
      <c r="P9" s="1529"/>
      <c r="Q9" s="1527" t="s">
        <v>1089</v>
      </c>
      <c r="R9" s="1527"/>
    </row>
    <row r="10" spans="1:24" ht="69.95" customHeight="1">
      <c r="A10" s="1432" t="s">
        <v>894</v>
      </c>
      <c r="B10" s="1433" t="s">
        <v>1051</v>
      </c>
      <c r="C10" s="1434" t="s">
        <v>895</v>
      </c>
      <c r="D10" s="1433" t="s">
        <v>896</v>
      </c>
      <c r="E10" s="1433" t="s">
        <v>897</v>
      </c>
      <c r="F10" s="1433" t="s">
        <v>1052</v>
      </c>
      <c r="G10" s="1433" t="s">
        <v>898</v>
      </c>
      <c r="H10" s="1433" t="s">
        <v>899</v>
      </c>
      <c r="I10" s="1435" t="s">
        <v>1053</v>
      </c>
      <c r="J10" s="1435" t="s">
        <v>1054</v>
      </c>
      <c r="K10" s="1436" t="s">
        <v>901</v>
      </c>
      <c r="L10" s="1436">
        <v>182.3</v>
      </c>
      <c r="M10" s="1436">
        <v>254</v>
      </c>
      <c r="N10" s="1436" t="s">
        <v>1055</v>
      </c>
      <c r="O10" s="1436" t="s">
        <v>902</v>
      </c>
      <c r="P10" s="1435" t="s">
        <v>1056</v>
      </c>
      <c r="Q10" s="1435" t="s">
        <v>1057</v>
      </c>
      <c r="R10" s="1329" t="s">
        <v>900</v>
      </c>
      <c r="S10" s="1330" t="s">
        <v>903</v>
      </c>
    </row>
    <row r="11" spans="1:24">
      <c r="B11" s="1320"/>
      <c r="D11" s="1331"/>
      <c r="E11" s="1331"/>
      <c r="F11" s="1331"/>
      <c r="G11" s="1331"/>
      <c r="H11" s="1331"/>
      <c r="I11" s="1332"/>
      <c r="J11" s="1332"/>
      <c r="K11" s="1332"/>
      <c r="L11" s="1332"/>
      <c r="M11" s="1332"/>
      <c r="N11" s="1332"/>
      <c r="O11" s="1332"/>
      <c r="P11" s="1332"/>
      <c r="Q11" s="1530" t="s">
        <v>904</v>
      </c>
      <c r="R11" s="1530"/>
      <c r="S11" s="1330"/>
    </row>
    <row r="12" spans="1:24">
      <c r="B12" s="1333" t="s">
        <v>905</v>
      </c>
      <c r="C12" s="1334"/>
      <c r="D12" s="1334"/>
      <c r="E12" s="1334"/>
      <c r="F12" s="1334"/>
      <c r="G12" s="1334"/>
      <c r="H12" s="1334"/>
      <c r="I12" s="1334"/>
      <c r="J12" s="1334"/>
      <c r="K12" s="1334"/>
      <c r="L12" s="1334"/>
      <c r="M12" s="1334"/>
      <c r="N12" s="1334"/>
      <c r="O12" s="1334"/>
      <c r="P12" s="1334"/>
      <c r="Q12" s="1334"/>
      <c r="R12" s="1334"/>
      <c r="S12" s="1324"/>
      <c r="T12" s="1324"/>
      <c r="U12" s="1324"/>
      <c r="V12" s="1324"/>
      <c r="W12" s="1324"/>
      <c r="X12" s="1324"/>
    </row>
    <row r="13" spans="1:24">
      <c r="A13" s="1320" t="s">
        <v>906</v>
      </c>
      <c r="B13" s="1335" t="s">
        <v>907</v>
      </c>
      <c r="C13" s="1320" t="s">
        <v>908</v>
      </c>
      <c r="D13" s="1336" t="s">
        <v>909</v>
      </c>
      <c r="E13" s="1336" t="s">
        <v>910</v>
      </c>
      <c r="F13" s="1337"/>
      <c r="G13" s="1336"/>
      <c r="H13" s="1336"/>
      <c r="I13" s="1338">
        <v>18599277</v>
      </c>
      <c r="J13" s="1339" t="s">
        <v>408</v>
      </c>
      <c r="K13" s="1338"/>
      <c r="L13" s="1338"/>
      <c r="M13" s="1338">
        <v>126687.620262907</v>
      </c>
      <c r="N13" s="1338"/>
      <c r="O13" s="1338"/>
      <c r="P13" s="1338"/>
      <c r="Q13" s="1340">
        <f>SUM(I13:P13)</f>
        <v>18725964.620262906</v>
      </c>
      <c r="R13" s="1341" t="s">
        <v>408</v>
      </c>
      <c r="S13" s="1342" t="s">
        <v>911</v>
      </c>
      <c r="T13" s="1324"/>
      <c r="U13" s="1324"/>
      <c r="V13" s="1324"/>
      <c r="W13" s="1324"/>
      <c r="X13" s="1324"/>
    </row>
    <row r="14" spans="1:24">
      <c r="A14" s="1320" t="s">
        <v>912</v>
      </c>
      <c r="B14" s="1335" t="s">
        <v>986</v>
      </c>
      <c r="C14" s="1320" t="s">
        <v>908</v>
      </c>
      <c r="D14" s="1336" t="s">
        <v>919</v>
      </c>
      <c r="E14" s="1320" t="s">
        <v>1058</v>
      </c>
      <c r="F14" s="1337"/>
      <c r="G14" s="1336"/>
      <c r="H14" s="1336"/>
      <c r="I14" s="1338">
        <v>3169</v>
      </c>
      <c r="J14" s="1339" t="s">
        <v>408</v>
      </c>
      <c r="K14" s="1338"/>
      <c r="L14" s="1338"/>
      <c r="M14" s="1338"/>
      <c r="N14" s="1338"/>
      <c r="O14" s="1338"/>
      <c r="P14" s="1338"/>
      <c r="Q14" s="1340">
        <f>SUM(I14:P14)</f>
        <v>3169</v>
      </c>
      <c r="R14" s="1341" t="s">
        <v>408</v>
      </c>
      <c r="S14" s="1342" t="s">
        <v>987</v>
      </c>
      <c r="T14" s="1324"/>
      <c r="U14" s="1324"/>
      <c r="V14" s="1324"/>
      <c r="W14" s="1324"/>
      <c r="X14" s="1324"/>
    </row>
    <row r="15" spans="1:24">
      <c r="A15" s="1320" t="s">
        <v>918</v>
      </c>
      <c r="B15" s="1335" t="s">
        <v>913</v>
      </c>
      <c r="C15" s="1320" t="s">
        <v>914</v>
      </c>
      <c r="D15" s="1336" t="s">
        <v>915</v>
      </c>
      <c r="E15" s="1336" t="s">
        <v>910</v>
      </c>
      <c r="F15" s="1343">
        <v>-57557598</v>
      </c>
      <c r="G15" s="1344" t="s">
        <v>916</v>
      </c>
      <c r="H15" s="1344" t="s">
        <v>917</v>
      </c>
      <c r="I15" s="1320" t="s">
        <v>408</v>
      </c>
      <c r="J15" s="1338">
        <v>-56738378</v>
      </c>
      <c r="K15" s="1338"/>
      <c r="L15" s="1338"/>
      <c r="M15" s="1338"/>
      <c r="N15" s="1338"/>
      <c r="O15" s="1338">
        <v>77182.289999995381</v>
      </c>
      <c r="P15" s="1338">
        <v>868306</v>
      </c>
      <c r="Q15" s="1345" t="s">
        <v>408</v>
      </c>
      <c r="R15" s="1346">
        <f>SUM(J15:P15)</f>
        <v>-55792889.710000008</v>
      </c>
      <c r="S15" s="1347" t="s">
        <v>950</v>
      </c>
      <c r="T15" s="1324"/>
      <c r="U15" s="1324"/>
      <c r="V15" s="1324"/>
      <c r="W15" s="1324"/>
      <c r="X15" s="1324"/>
    </row>
    <row r="16" spans="1:24">
      <c r="A16" s="1320" t="s">
        <v>922</v>
      </c>
      <c r="B16" s="1335" t="s">
        <v>913</v>
      </c>
      <c r="C16" s="1320" t="s">
        <v>914</v>
      </c>
      <c r="D16" s="1336" t="s">
        <v>919</v>
      </c>
      <c r="E16" s="1336" t="s">
        <v>910</v>
      </c>
      <c r="F16" s="1348">
        <v>0</v>
      </c>
      <c r="G16" s="1344" t="s">
        <v>920</v>
      </c>
      <c r="H16" s="1344" t="s">
        <v>921</v>
      </c>
      <c r="J16" s="1338">
        <v>-375523</v>
      </c>
      <c r="K16" s="1338"/>
      <c r="L16" s="1338"/>
      <c r="M16" s="1338"/>
      <c r="N16" s="1338"/>
      <c r="O16" s="1338">
        <v>62587.135594143532</v>
      </c>
      <c r="P16" s="1338"/>
      <c r="Q16" s="1345"/>
      <c r="R16" s="1346">
        <f>SUM(J16:P16)</f>
        <v>-312935.86440585647</v>
      </c>
      <c r="S16" s="1347" t="s">
        <v>961</v>
      </c>
      <c r="T16" s="1324"/>
      <c r="U16" s="1324"/>
      <c r="V16" s="1324"/>
      <c r="W16" s="1324"/>
      <c r="X16" s="1324"/>
    </row>
    <row r="17" spans="1:24">
      <c r="A17" s="1320" t="s">
        <v>925</v>
      </c>
      <c r="B17" s="1335" t="s">
        <v>923</v>
      </c>
      <c r="C17" s="1320" t="s">
        <v>924</v>
      </c>
      <c r="D17" s="1336" t="s">
        <v>915</v>
      </c>
      <c r="E17" s="1336" t="s">
        <v>910</v>
      </c>
      <c r="F17" s="1348"/>
      <c r="G17" s="1344"/>
      <c r="H17" s="1344"/>
      <c r="I17" s="1338">
        <v>56738378</v>
      </c>
      <c r="J17" s="1339"/>
      <c r="K17" s="1338"/>
      <c r="L17" s="1338"/>
      <c r="M17" s="1338">
        <v>-945488.28999999538</v>
      </c>
      <c r="N17" s="1338"/>
      <c r="O17" s="1338"/>
      <c r="P17" s="1338"/>
      <c r="Q17" s="1340">
        <f>SUM(I17:P17)</f>
        <v>55792889.710000008</v>
      </c>
      <c r="R17" s="1339"/>
      <c r="S17" s="1523" t="s">
        <v>962</v>
      </c>
      <c r="T17" s="1324"/>
      <c r="U17" s="1324"/>
      <c r="V17" s="1324"/>
      <c r="W17" s="1324"/>
      <c r="X17" s="1324"/>
    </row>
    <row r="18" spans="1:24">
      <c r="A18" s="1320" t="s">
        <v>926</v>
      </c>
      <c r="B18" s="1335" t="s">
        <v>923</v>
      </c>
      <c r="C18" s="1320" t="s">
        <v>924</v>
      </c>
      <c r="D18" s="1336" t="s">
        <v>919</v>
      </c>
      <c r="E18" s="1336" t="s">
        <v>910</v>
      </c>
      <c r="F18" s="1348"/>
      <c r="G18" s="1344"/>
      <c r="H18" s="1344"/>
      <c r="I18" s="1338">
        <v>375523</v>
      </c>
      <c r="J18" s="1339"/>
      <c r="K18" s="1338"/>
      <c r="L18" s="1338"/>
      <c r="M18" s="1338">
        <v>-62587.135594143532</v>
      </c>
      <c r="N18" s="1338"/>
      <c r="O18" s="1338"/>
      <c r="P18" s="1338"/>
      <c r="Q18" s="1340">
        <f>SUM(I18:P18)</f>
        <v>312935.86440585647</v>
      </c>
      <c r="R18" s="1339"/>
      <c r="S18" s="1523"/>
      <c r="T18" s="1324"/>
      <c r="U18" s="1324"/>
      <c r="V18" s="1324"/>
      <c r="W18" s="1324"/>
      <c r="X18" s="1324"/>
    </row>
    <row r="19" spans="1:24">
      <c r="A19" s="1320" t="s">
        <v>930</v>
      </c>
      <c r="B19" s="1335" t="s">
        <v>927</v>
      </c>
      <c r="C19" s="1320" t="s">
        <v>928</v>
      </c>
      <c r="D19" s="1336" t="s">
        <v>919</v>
      </c>
      <c r="E19" s="1336" t="s">
        <v>910</v>
      </c>
      <c r="F19" s="1348">
        <v>4719901</v>
      </c>
      <c r="G19" s="1344" t="s">
        <v>920</v>
      </c>
      <c r="H19" s="1344" t="s">
        <v>921</v>
      </c>
      <c r="I19" s="1320" t="s">
        <v>408</v>
      </c>
      <c r="J19" s="1338">
        <v>4546639</v>
      </c>
      <c r="K19" s="1338"/>
      <c r="L19" s="1338"/>
      <c r="M19" s="1338"/>
      <c r="N19" s="1338"/>
      <c r="O19" s="1338">
        <v>-613055.54499942856</v>
      </c>
      <c r="P19" s="1338">
        <v>-868306</v>
      </c>
      <c r="Q19" s="1345" t="s">
        <v>408</v>
      </c>
      <c r="R19" s="1346">
        <f>SUM(J19:P19)</f>
        <v>3065277.4550005714</v>
      </c>
      <c r="S19" s="1342" t="s">
        <v>929</v>
      </c>
      <c r="T19" s="1324"/>
      <c r="U19" s="1324"/>
      <c r="V19" s="1324"/>
      <c r="W19" s="1324"/>
      <c r="X19" s="1324"/>
    </row>
    <row r="20" spans="1:24">
      <c r="A20" s="1320" t="s">
        <v>934</v>
      </c>
      <c r="B20" s="1335" t="s">
        <v>992</v>
      </c>
      <c r="C20" s="1320" t="s">
        <v>990</v>
      </c>
      <c r="D20" s="1336" t="s">
        <v>919</v>
      </c>
      <c r="E20" s="1320" t="s">
        <v>1058</v>
      </c>
      <c r="F20" s="1348"/>
      <c r="G20" s="1344"/>
      <c r="H20" s="1344"/>
      <c r="J20" s="1338">
        <v>9685</v>
      </c>
      <c r="K20" s="1338"/>
      <c r="L20" s="1338"/>
      <c r="M20" s="1338"/>
      <c r="N20" s="1338"/>
      <c r="O20" s="1338"/>
      <c r="P20" s="1338"/>
      <c r="Q20" s="1345"/>
      <c r="R20" s="1346">
        <f>SUM(J20:P20)</f>
        <v>9685</v>
      </c>
      <c r="S20" s="1342" t="s">
        <v>994</v>
      </c>
      <c r="T20" s="1324"/>
      <c r="U20" s="1324"/>
      <c r="V20" s="1324"/>
      <c r="W20" s="1324"/>
      <c r="X20" s="1324"/>
    </row>
    <row r="21" spans="1:24">
      <c r="A21" s="1320" t="s">
        <v>997</v>
      </c>
      <c r="B21" s="1335" t="s">
        <v>993</v>
      </c>
      <c r="C21" s="1320" t="s">
        <v>991</v>
      </c>
      <c r="D21" s="1336" t="s">
        <v>919</v>
      </c>
      <c r="E21" s="1320" t="s">
        <v>1058</v>
      </c>
      <c r="F21" s="1348"/>
      <c r="G21" s="1344"/>
      <c r="H21" s="1344"/>
      <c r="J21" s="1338">
        <v>-46118</v>
      </c>
      <c r="K21" s="1338"/>
      <c r="L21" s="1338"/>
      <c r="M21" s="1338"/>
      <c r="N21" s="1338"/>
      <c r="O21" s="1338"/>
      <c r="P21" s="1338"/>
      <c r="Q21" s="1345"/>
      <c r="R21" s="1346">
        <f>SUM(J21:P21)</f>
        <v>-46118</v>
      </c>
      <c r="S21" s="1342" t="s">
        <v>996</v>
      </c>
      <c r="T21" s="1324"/>
      <c r="U21" s="1324"/>
      <c r="V21" s="1324"/>
      <c r="W21" s="1324"/>
      <c r="X21" s="1324"/>
    </row>
    <row r="22" spans="1:24">
      <c r="A22" s="1320" t="s">
        <v>998</v>
      </c>
      <c r="B22" s="1349" t="s">
        <v>931</v>
      </c>
      <c r="C22" s="1320" t="s">
        <v>932</v>
      </c>
      <c r="D22" s="1336" t="s">
        <v>919</v>
      </c>
      <c r="E22" s="1336" t="s">
        <v>910</v>
      </c>
      <c r="F22" s="1343"/>
      <c r="G22" s="1344"/>
      <c r="H22" s="1344"/>
      <c r="I22" s="1338">
        <v>-4546638</v>
      </c>
      <c r="J22" s="1339"/>
      <c r="K22" s="1338"/>
      <c r="L22" s="1338"/>
      <c r="M22" s="1338">
        <v>1481361.5449994286</v>
      </c>
      <c r="N22" s="1338"/>
      <c r="O22" s="1338"/>
      <c r="P22" s="1338"/>
      <c r="Q22" s="1340">
        <f>SUM(I22:P22)</f>
        <v>-3065276.4550005714</v>
      </c>
      <c r="R22" s="1345"/>
      <c r="S22" s="1342" t="s">
        <v>933</v>
      </c>
      <c r="T22" s="1324"/>
      <c r="U22" s="1324"/>
      <c r="V22" s="1324"/>
      <c r="W22" s="1324"/>
      <c r="X22" s="1324"/>
    </row>
    <row r="23" spans="1:24">
      <c r="A23" s="1320" t="s">
        <v>999</v>
      </c>
      <c r="B23" s="1349" t="s">
        <v>985</v>
      </c>
      <c r="C23" s="1320" t="s">
        <v>1059</v>
      </c>
      <c r="D23" s="1336" t="s">
        <v>919</v>
      </c>
      <c r="E23" s="1320" t="s">
        <v>1058</v>
      </c>
      <c r="F23" s="1343"/>
      <c r="G23" s="1344"/>
      <c r="H23" s="1344"/>
      <c r="I23" s="1338">
        <v>46118</v>
      </c>
      <c r="J23" s="1339"/>
      <c r="K23" s="1338"/>
      <c r="L23" s="1338"/>
      <c r="M23" s="1338"/>
      <c r="N23" s="1338"/>
      <c r="O23" s="1338"/>
      <c r="P23" s="1338"/>
      <c r="Q23" s="1340">
        <f>SUM(I23:P23)</f>
        <v>46118</v>
      </c>
      <c r="R23" s="1345"/>
      <c r="S23" s="1342" t="s">
        <v>996</v>
      </c>
      <c r="T23" s="1324"/>
      <c r="U23" s="1324"/>
      <c r="V23" s="1324"/>
      <c r="W23" s="1324"/>
      <c r="X23" s="1324"/>
    </row>
    <row r="24" spans="1:24">
      <c r="A24" s="1320" t="s">
        <v>1060</v>
      </c>
      <c r="B24" s="1350" t="s">
        <v>935</v>
      </c>
      <c r="D24" s="1336"/>
      <c r="E24" s="1336"/>
      <c r="F24" s="1343"/>
      <c r="G24" s="1344"/>
      <c r="H24" s="1344"/>
      <c r="I24" s="1338"/>
      <c r="J24" s="1338"/>
      <c r="K24" s="1338"/>
      <c r="L24" s="1338"/>
      <c r="M24" s="1338"/>
      <c r="N24" s="1338"/>
      <c r="O24" s="1338"/>
      <c r="P24" s="1338"/>
      <c r="Q24" s="1341"/>
      <c r="R24" s="1340"/>
      <c r="S24" s="1351"/>
      <c r="T24" s="1324"/>
      <c r="U24" s="1324"/>
      <c r="V24" s="1324"/>
      <c r="W24" s="1324"/>
      <c r="X24" s="1324"/>
    </row>
    <row r="25" spans="1:24" ht="12.75">
      <c r="B25" s="1352"/>
      <c r="C25" s="1352"/>
      <c r="D25" s="1352"/>
      <c r="E25" s="1352"/>
      <c r="F25" s="1352"/>
      <c r="G25" s="1352"/>
      <c r="H25" s="1352"/>
      <c r="I25" s="1352"/>
      <c r="J25" s="1352"/>
      <c r="K25" s="1352"/>
      <c r="L25" s="1352"/>
      <c r="M25" s="1352"/>
      <c r="N25" s="1352"/>
      <c r="O25"/>
      <c r="P25"/>
      <c r="Q25"/>
      <c r="R25"/>
      <c r="S25"/>
      <c r="T25" s="1324"/>
      <c r="U25" s="1324"/>
      <c r="V25" s="1324"/>
      <c r="W25" s="1324"/>
      <c r="X25" s="1324"/>
    </row>
    <row r="26" spans="1:24" s="1324" customFormat="1">
      <c r="A26" s="1320"/>
      <c r="B26" s="1333" t="s">
        <v>936</v>
      </c>
      <c r="R26" s="1353"/>
      <c r="S26" s="1354"/>
    </row>
    <row r="27" spans="1:24" ht="11.45" customHeight="1">
      <c r="A27" s="1320" t="s">
        <v>937</v>
      </c>
      <c r="B27" s="1355">
        <v>182.3</v>
      </c>
      <c r="C27" s="1356" t="s">
        <v>938</v>
      </c>
      <c r="D27" s="1357" t="s">
        <v>408</v>
      </c>
      <c r="E27" s="1336" t="s">
        <v>910</v>
      </c>
      <c r="F27" s="1357"/>
      <c r="G27" s="1357" t="s">
        <v>408</v>
      </c>
      <c r="H27" s="1357"/>
      <c r="I27" s="1358">
        <v>0</v>
      </c>
      <c r="J27" s="1338"/>
      <c r="K27" s="1338"/>
      <c r="L27" s="1338"/>
      <c r="M27" s="1338"/>
      <c r="N27" s="1338"/>
      <c r="O27" s="1338"/>
      <c r="P27" s="1339"/>
      <c r="Q27" s="1341">
        <f>SUM(I27:P27)</f>
        <v>0</v>
      </c>
      <c r="R27" s="1359"/>
      <c r="S27" s="1342" t="s">
        <v>939</v>
      </c>
      <c r="T27" s="1324"/>
      <c r="U27" s="1324"/>
      <c r="V27" s="1324"/>
      <c r="W27" s="1324"/>
      <c r="X27" s="1324"/>
    </row>
    <row r="28" spans="1:24" ht="11.45" customHeight="1">
      <c r="A28" s="1320" t="s">
        <v>940</v>
      </c>
      <c r="B28" s="1355">
        <v>254</v>
      </c>
      <c r="C28" s="1356" t="s">
        <v>941</v>
      </c>
      <c r="D28" s="1357" t="s">
        <v>408</v>
      </c>
      <c r="E28" s="1336" t="s">
        <v>910</v>
      </c>
      <c r="F28" s="1357"/>
      <c r="G28" s="1357" t="s">
        <v>408</v>
      </c>
      <c r="H28" s="1357"/>
      <c r="I28" s="1358">
        <v>-71166540</v>
      </c>
      <c r="J28" s="1338"/>
      <c r="K28" s="1338"/>
      <c r="L28" s="1338"/>
      <c r="M28" s="1338">
        <f>-(M13+M17+M18+M22)</f>
        <v>-599973.73966819665</v>
      </c>
      <c r="N28" s="1338"/>
      <c r="O28" s="1338"/>
      <c r="P28" s="1339"/>
      <c r="Q28" s="1341">
        <f>SUM(I28:P28)</f>
        <v>-71766513.73966819</v>
      </c>
      <c r="R28" s="1359"/>
      <c r="S28" s="1342" t="s">
        <v>939</v>
      </c>
      <c r="T28" s="1324"/>
      <c r="U28" s="1324"/>
      <c r="V28" s="1324"/>
      <c r="W28" s="1324"/>
      <c r="X28" s="1324"/>
    </row>
    <row r="29" spans="1:24" ht="11.45" customHeight="1">
      <c r="A29" s="1320" t="s">
        <v>942</v>
      </c>
      <c r="B29" s="1321">
        <v>254.00020000000001</v>
      </c>
      <c r="C29" s="1356" t="s">
        <v>1061</v>
      </c>
      <c r="D29" s="1357"/>
      <c r="E29" s="1320" t="s">
        <v>1058</v>
      </c>
      <c r="F29" s="1357"/>
      <c r="G29" s="1357"/>
      <c r="H29" s="1357"/>
      <c r="I29" s="1358">
        <v>-49287</v>
      </c>
      <c r="J29" s="1338"/>
      <c r="K29" s="1338"/>
      <c r="L29" s="1338"/>
      <c r="M29" s="1338">
        <f>-(M14+M23)</f>
        <v>0</v>
      </c>
      <c r="N29" s="1338"/>
      <c r="O29" s="1338"/>
      <c r="P29" s="1357"/>
      <c r="Q29" s="1341">
        <f>SUM(I29:P29)</f>
        <v>-49287</v>
      </c>
      <c r="R29" s="1359"/>
      <c r="S29" s="1342"/>
      <c r="T29" s="1324"/>
      <c r="U29" s="1324"/>
      <c r="V29" s="1324"/>
      <c r="W29" s="1324"/>
      <c r="X29" s="1324"/>
    </row>
    <row r="30" spans="1:24" ht="11.45" customHeight="1">
      <c r="A30" s="1320" t="s">
        <v>1062</v>
      </c>
      <c r="B30" s="1350" t="s">
        <v>935</v>
      </c>
      <c r="C30" s="1356"/>
      <c r="D30" s="1357"/>
      <c r="E30" s="1336"/>
      <c r="F30" s="1357"/>
      <c r="G30" s="1357"/>
      <c r="H30" s="1357"/>
      <c r="I30" s="1338"/>
      <c r="J30" s="1338"/>
      <c r="K30" s="1338"/>
      <c r="L30" s="1338"/>
      <c r="M30" s="1338"/>
      <c r="N30" s="1338"/>
      <c r="O30" s="1338"/>
      <c r="P30" s="1357"/>
      <c r="Q30" s="1359"/>
      <c r="R30" s="1359"/>
      <c r="S30" s="1342"/>
      <c r="T30" s="1324"/>
      <c r="U30" s="1324"/>
      <c r="V30" s="1324"/>
      <c r="W30" s="1324"/>
      <c r="X30" s="1324"/>
    </row>
    <row r="31" spans="1:24">
      <c r="B31" s="1355"/>
      <c r="C31" s="1356"/>
      <c r="D31" s="1328"/>
      <c r="E31" s="1328"/>
      <c r="F31" s="1328"/>
      <c r="G31" s="1328"/>
      <c r="H31" s="1328"/>
      <c r="I31" s="1328"/>
      <c r="J31" s="1328"/>
      <c r="K31" s="1328"/>
      <c r="L31" s="1328"/>
      <c r="M31" s="1328"/>
      <c r="N31" s="1328"/>
      <c r="O31" s="1328"/>
      <c r="P31" s="1328"/>
      <c r="Q31" s="1328"/>
      <c r="R31" s="1328"/>
      <c r="S31" s="1360"/>
      <c r="T31" s="1324"/>
      <c r="U31" s="1324"/>
      <c r="V31" s="1324"/>
      <c r="W31" s="1324"/>
      <c r="X31" s="1324"/>
    </row>
    <row r="32" spans="1:24" ht="12.75" thickBot="1">
      <c r="A32" s="1361">
        <v>3</v>
      </c>
      <c r="B32" s="1524" t="str">
        <f>"Total For Accounting Entires (Sum of Lines "&amp;A13&amp;" through "&amp;A28&amp;")"</f>
        <v>Total For Accounting Entires (Sum of Lines 1a through 2b)</v>
      </c>
      <c r="C32" s="1524"/>
      <c r="D32" s="1357"/>
      <c r="E32" s="1357"/>
      <c r="F32" s="1357"/>
      <c r="G32" s="1357"/>
      <c r="H32" s="1357"/>
      <c r="I32" s="1362">
        <v>0</v>
      </c>
      <c r="J32" s="1363">
        <v>-52603695</v>
      </c>
      <c r="K32" s="1364">
        <f t="shared" ref="K32:N32" si="0">SUM(K13:K31)</f>
        <v>0</v>
      </c>
      <c r="L32" s="1364">
        <f t="shared" si="0"/>
        <v>0</v>
      </c>
      <c r="M32" s="1363">
        <f t="shared" si="0"/>
        <v>0</v>
      </c>
      <c r="N32" s="1363">
        <f t="shared" si="0"/>
        <v>0</v>
      </c>
      <c r="O32" s="1363">
        <f>-SUM(O13:O31)</f>
        <v>473286.11940528965</v>
      </c>
      <c r="P32" s="1363">
        <f>-SUM(P13:P31)</f>
        <v>0</v>
      </c>
      <c r="Q32" s="1363">
        <f>SUM(Q13:Q31)</f>
        <v>1.4901161193847656E-8</v>
      </c>
      <c r="R32" s="1363">
        <f>SUM(R13:R31)</f>
        <v>-53076981.119405292</v>
      </c>
      <c r="S32" s="1365"/>
      <c r="T32" s="1324"/>
      <c r="U32" s="1324"/>
      <c r="V32" s="1324"/>
      <c r="W32" s="1324"/>
      <c r="X32" s="1324"/>
    </row>
    <row r="33" spans="1:24" ht="12.75" thickTop="1">
      <c r="B33" s="1355"/>
      <c r="C33" s="1356"/>
      <c r="D33" s="1328"/>
      <c r="E33" s="1328"/>
      <c r="F33" s="1328"/>
      <c r="G33" s="1328"/>
      <c r="H33" s="1328"/>
      <c r="I33" s="1366"/>
      <c r="J33" s="1348"/>
      <c r="K33" s="1367"/>
      <c r="L33" s="1367"/>
      <c r="M33" s="1367"/>
      <c r="N33" s="1367"/>
      <c r="O33" s="1368" t="s">
        <v>943</v>
      </c>
      <c r="P33" s="1368"/>
      <c r="Q33" s="1367"/>
      <c r="R33" s="1369"/>
      <c r="S33" s="1365"/>
      <c r="T33" s="1324"/>
      <c r="U33" s="1324"/>
      <c r="V33" s="1324"/>
      <c r="W33" s="1324"/>
      <c r="X33" s="1324"/>
    </row>
    <row r="34" spans="1:24">
      <c r="B34" s="1320"/>
      <c r="C34" s="1356"/>
      <c r="D34" s="1328"/>
      <c r="E34" s="1328"/>
      <c r="F34" s="1328"/>
      <c r="G34" s="1328"/>
      <c r="H34" s="1328"/>
      <c r="I34" s="1366"/>
      <c r="J34" s="1369"/>
      <c r="K34" s="1367"/>
      <c r="L34" s="1367"/>
      <c r="M34" s="1367"/>
      <c r="N34" s="1367"/>
      <c r="O34" s="1369"/>
      <c r="P34" s="1369"/>
      <c r="Q34" s="1367"/>
      <c r="R34" s="1369"/>
      <c r="S34" s="1365"/>
      <c r="T34" s="1324"/>
      <c r="U34" s="1324"/>
      <c r="V34" s="1324"/>
      <c r="W34" s="1324"/>
      <c r="X34" s="1324"/>
    </row>
    <row r="35" spans="1:24" ht="15" customHeight="1">
      <c r="A35" s="1383" t="s">
        <v>944</v>
      </c>
      <c r="B35" s="1525" t="s">
        <v>945</v>
      </c>
      <c r="C35" s="1525"/>
      <c r="D35" s="1525"/>
      <c r="E35" s="1525"/>
      <c r="F35" s="1525"/>
      <c r="G35" s="1525"/>
      <c r="H35" s="1525"/>
      <c r="I35" s="1525"/>
      <c r="J35" s="1525"/>
      <c r="K35" s="1371"/>
      <c r="L35" s="1372"/>
      <c r="P35" s="1373"/>
      <c r="Q35" s="1373"/>
      <c r="R35" s="1373"/>
      <c r="S35" s="1324"/>
    </row>
    <row r="36" spans="1:24">
      <c r="A36" s="1382"/>
      <c r="B36" s="1525"/>
      <c r="C36" s="1525"/>
      <c r="D36" s="1525"/>
      <c r="E36" s="1525"/>
      <c r="F36" s="1525"/>
      <c r="G36" s="1525"/>
      <c r="H36" s="1525"/>
      <c r="I36" s="1525"/>
      <c r="J36" s="1525"/>
      <c r="K36" s="1371"/>
      <c r="L36" s="1372"/>
      <c r="P36" s="1373"/>
      <c r="S36" s="1324"/>
    </row>
    <row r="37" spans="1:24">
      <c r="A37" s="1382"/>
      <c r="B37" s="1525"/>
      <c r="C37" s="1525"/>
      <c r="D37" s="1525"/>
      <c r="E37" s="1525"/>
      <c r="F37" s="1525"/>
      <c r="G37" s="1525"/>
      <c r="H37" s="1525"/>
      <c r="I37" s="1525"/>
      <c r="J37" s="1525"/>
      <c r="K37" s="1371"/>
      <c r="L37" s="1372"/>
      <c r="S37" s="1324"/>
    </row>
    <row r="38" spans="1:24">
      <c r="A38" s="1382"/>
      <c r="B38" s="1525"/>
      <c r="C38" s="1525"/>
      <c r="D38" s="1525"/>
      <c r="E38" s="1525"/>
      <c r="F38" s="1525"/>
      <c r="G38" s="1525"/>
      <c r="H38" s="1525"/>
      <c r="I38" s="1525"/>
      <c r="J38" s="1525"/>
      <c r="K38" s="1371"/>
      <c r="L38" s="1372"/>
      <c r="Q38" s="1373"/>
      <c r="R38" s="1373"/>
      <c r="S38" s="1324"/>
    </row>
    <row r="39" spans="1:24">
      <c r="A39" s="1382"/>
      <c r="B39" s="1525"/>
      <c r="C39" s="1525"/>
      <c r="D39" s="1525"/>
      <c r="E39" s="1525"/>
      <c r="F39" s="1525"/>
      <c r="G39" s="1525"/>
      <c r="H39" s="1525"/>
      <c r="I39" s="1525"/>
      <c r="J39" s="1525"/>
      <c r="K39" s="1371"/>
      <c r="S39" s="1324"/>
    </row>
    <row r="40" spans="1:24">
      <c r="A40" s="1382"/>
      <c r="B40" s="1525"/>
      <c r="C40" s="1525"/>
      <c r="D40" s="1525"/>
      <c r="E40" s="1525"/>
      <c r="F40" s="1525"/>
      <c r="G40" s="1525"/>
      <c r="H40" s="1525"/>
      <c r="I40" s="1525"/>
      <c r="J40" s="1525"/>
      <c r="K40" s="1371"/>
      <c r="S40" s="1324"/>
    </row>
    <row r="41" spans="1:24" ht="5.0999999999999996" customHeight="1">
      <c r="A41" s="1382"/>
      <c r="B41" s="1384"/>
      <c r="C41" s="1384"/>
      <c r="D41" s="1384"/>
      <c r="E41" s="1384"/>
      <c r="F41" s="1384"/>
      <c r="G41" s="1384"/>
      <c r="H41" s="1384"/>
      <c r="I41" s="1384"/>
      <c r="J41" s="1384"/>
      <c r="K41" s="1371"/>
      <c r="S41" s="1324"/>
    </row>
    <row r="42" spans="1:24" ht="12.6" customHeight="1">
      <c r="A42" s="1382" t="s">
        <v>946</v>
      </c>
      <c r="B42" s="1385" t="s">
        <v>1005</v>
      </c>
      <c r="C42" s="1385"/>
      <c r="D42" s="1385"/>
      <c r="E42" s="1385"/>
      <c r="F42" s="1385"/>
      <c r="G42" s="1385"/>
      <c r="H42" s="1385"/>
      <c r="I42" s="1385"/>
      <c r="J42" s="1385"/>
      <c r="K42" s="1371"/>
      <c r="S42" s="1324"/>
    </row>
    <row r="43" spans="1:24" ht="5.0999999999999996" customHeight="1">
      <c r="A43" s="1382"/>
      <c r="B43" s="1384"/>
      <c r="C43" s="1384"/>
      <c r="D43" s="1384"/>
      <c r="E43" s="1384"/>
      <c r="F43" s="1384"/>
      <c r="G43" s="1384"/>
      <c r="H43" s="1384"/>
      <c r="I43" s="1384"/>
      <c r="J43" s="1384"/>
      <c r="K43" s="1371"/>
      <c r="S43" s="1324"/>
    </row>
    <row r="44" spans="1:24" s="1375" customFormat="1" ht="12.6" customHeight="1">
      <c r="A44" s="1382" t="s">
        <v>947</v>
      </c>
      <c r="B44" s="1526" t="s">
        <v>1006</v>
      </c>
      <c r="C44" s="1526"/>
      <c r="D44" s="1526"/>
      <c r="E44" s="1526"/>
      <c r="F44" s="1526"/>
      <c r="G44" s="1526"/>
      <c r="H44" s="1526"/>
      <c r="I44" s="1526"/>
      <c r="J44" s="1526"/>
      <c r="K44" s="1374"/>
      <c r="S44" s="1353"/>
    </row>
    <row r="45" spans="1:24" s="1375" customFormat="1" ht="12.6" customHeight="1">
      <c r="A45" s="1382"/>
      <c r="B45" s="1526"/>
      <c r="C45" s="1526"/>
      <c r="D45" s="1526"/>
      <c r="E45" s="1526"/>
      <c r="F45" s="1526"/>
      <c r="G45" s="1526"/>
      <c r="H45" s="1526"/>
      <c r="I45" s="1526"/>
      <c r="J45" s="1526"/>
      <c r="K45" s="1374"/>
      <c r="S45" s="1353"/>
    </row>
    <row r="46" spans="1:24" ht="5.0999999999999996" customHeight="1">
      <c r="A46" s="1382"/>
      <c r="B46" s="1384"/>
      <c r="C46" s="1384"/>
      <c r="D46" s="1384"/>
      <c r="E46" s="1384"/>
      <c r="F46" s="1384"/>
      <c r="G46" s="1384"/>
      <c r="H46" s="1384"/>
      <c r="I46" s="1384"/>
      <c r="J46" s="1384"/>
      <c r="K46" s="1371"/>
      <c r="S46" s="1324"/>
    </row>
    <row r="47" spans="1:24">
      <c r="A47" s="1382" t="s">
        <v>948</v>
      </c>
      <c r="B47" s="1386" t="s">
        <v>1007</v>
      </c>
      <c r="C47" s="1384"/>
      <c r="D47" s="1384"/>
      <c r="E47" s="1384"/>
      <c r="F47" s="1384"/>
      <c r="G47" s="1384"/>
      <c r="H47" s="1384"/>
      <c r="I47" s="1384"/>
      <c r="J47" s="1384"/>
      <c r="K47" s="1371"/>
      <c r="S47" s="1324"/>
    </row>
    <row r="48" spans="1:24" ht="8.1" customHeight="1">
      <c r="A48" s="1382"/>
      <c r="B48" s="1386"/>
      <c r="C48" s="1384"/>
      <c r="D48" s="1384"/>
      <c r="E48" s="1384"/>
      <c r="F48" s="1384"/>
      <c r="G48" s="1384"/>
      <c r="H48" s="1384"/>
      <c r="I48" s="1384"/>
      <c r="J48" s="1384"/>
      <c r="K48" s="1371"/>
      <c r="S48" s="1324"/>
    </row>
    <row r="49" spans="1:19" ht="12" customHeight="1">
      <c r="A49" s="1387" t="s">
        <v>949</v>
      </c>
      <c r="B49" s="1525" t="s">
        <v>1008</v>
      </c>
      <c r="C49" s="1525"/>
      <c r="D49" s="1525"/>
      <c r="E49" s="1525"/>
      <c r="F49" s="1525"/>
      <c r="G49" s="1525"/>
      <c r="H49" s="1525"/>
      <c r="I49" s="1525"/>
      <c r="J49" s="1384"/>
      <c r="K49" s="1372"/>
      <c r="S49" s="1324"/>
    </row>
    <row r="50" spans="1:19" ht="11.45" customHeight="1">
      <c r="A50" s="1382"/>
      <c r="B50" s="1525"/>
      <c r="C50" s="1525"/>
      <c r="D50" s="1525"/>
      <c r="E50" s="1525"/>
      <c r="F50" s="1525"/>
      <c r="G50" s="1525"/>
      <c r="H50" s="1525"/>
      <c r="I50" s="1525"/>
      <c r="J50" s="1384"/>
      <c r="S50" s="1324"/>
    </row>
    <row r="51" spans="1:19">
      <c r="A51" s="1382"/>
      <c r="B51" s="1388"/>
      <c r="C51" s="1382"/>
      <c r="D51" s="1382"/>
      <c r="E51" s="1382"/>
      <c r="F51" s="1382"/>
      <c r="G51" s="1382"/>
      <c r="H51" s="1382"/>
      <c r="I51" s="1382"/>
      <c r="J51" s="1382"/>
      <c r="S51" s="1324"/>
    </row>
    <row r="52" spans="1:19">
      <c r="A52" s="1387" t="s">
        <v>1009</v>
      </c>
      <c r="B52" s="1525" t="s">
        <v>1010</v>
      </c>
      <c r="C52" s="1525"/>
      <c r="D52" s="1525"/>
      <c r="E52" s="1525"/>
      <c r="F52" s="1525"/>
      <c r="G52" s="1525"/>
      <c r="H52" s="1525"/>
      <c r="I52" s="1525"/>
      <c r="J52" s="1382"/>
      <c r="S52" s="1324"/>
    </row>
    <row r="53" spans="1:19">
      <c r="A53" s="1382"/>
      <c r="B53" s="1525"/>
      <c r="C53" s="1525"/>
      <c r="D53" s="1525"/>
      <c r="E53" s="1525"/>
      <c r="F53" s="1525"/>
      <c r="G53" s="1525"/>
      <c r="H53" s="1525"/>
      <c r="I53" s="1525"/>
      <c r="J53" s="1382"/>
      <c r="S53" s="1324"/>
    </row>
    <row r="54" spans="1:19">
      <c r="A54" s="1382"/>
      <c r="B54" s="1388"/>
      <c r="C54" s="1382"/>
      <c r="D54" s="1382"/>
      <c r="E54" s="1382"/>
      <c r="F54" s="1382"/>
      <c r="G54" s="1382"/>
      <c r="H54" s="1382"/>
      <c r="I54" s="1382"/>
      <c r="J54" s="1382"/>
    </row>
    <row r="55" spans="1:19">
      <c r="A55" s="1387" t="s">
        <v>1011</v>
      </c>
      <c r="B55" s="1389" t="s">
        <v>1012</v>
      </c>
      <c r="C55" s="1389"/>
      <c r="D55" s="1389"/>
      <c r="E55" s="1389"/>
      <c r="F55" s="1389"/>
      <c r="G55" s="1389"/>
      <c r="H55" s="1382"/>
      <c r="I55" s="1382"/>
      <c r="J55" s="1382"/>
    </row>
    <row r="56" spans="1:19">
      <c r="A56" s="1382"/>
      <c r="B56" s="1388"/>
      <c r="C56" s="1382"/>
      <c r="D56" s="1382"/>
      <c r="E56" s="1382"/>
      <c r="F56" s="1382"/>
      <c r="G56" s="1382"/>
      <c r="H56" s="1382"/>
      <c r="I56" s="1382"/>
      <c r="J56" s="1382"/>
    </row>
    <row r="57" spans="1:19">
      <c r="A57" s="1382"/>
      <c r="B57" s="1388"/>
      <c r="C57" s="1382"/>
      <c r="D57" s="1382"/>
      <c r="E57" s="1382"/>
      <c r="F57" s="1382"/>
      <c r="G57" s="1382"/>
      <c r="H57" s="1382"/>
      <c r="I57" s="1382"/>
      <c r="J57" s="1382"/>
    </row>
    <row r="58" spans="1:19">
      <c r="A58" s="1383"/>
      <c r="B58" s="1383"/>
      <c r="C58" s="1383"/>
      <c r="D58" s="1383"/>
      <c r="E58" s="1383"/>
      <c r="F58" s="1383"/>
      <c r="G58" s="1383"/>
      <c r="H58" s="1383"/>
      <c r="I58" s="1383"/>
      <c r="J58" s="1383"/>
      <c r="K58" s="1370"/>
    </row>
    <row r="59" spans="1:19">
      <c r="A59" s="1383"/>
      <c r="B59" s="1383"/>
      <c r="C59" s="1383"/>
      <c r="D59" s="1383"/>
      <c r="E59" s="1383"/>
      <c r="F59" s="1383"/>
      <c r="G59" s="1383"/>
      <c r="H59" s="1383"/>
      <c r="I59" s="1383"/>
      <c r="J59" s="1383"/>
      <c r="K59" s="1370"/>
    </row>
    <row r="60" spans="1:19">
      <c r="A60" s="1382"/>
      <c r="B60" s="1388"/>
      <c r="C60" s="1382"/>
      <c r="D60" s="1383"/>
      <c r="E60" s="1383"/>
      <c r="F60" s="1383"/>
      <c r="G60" s="1383"/>
      <c r="H60" s="1383"/>
      <c r="I60" s="1383"/>
      <c r="J60" s="1383"/>
      <c r="K60" s="1370"/>
    </row>
    <row r="61" spans="1:19">
      <c r="A61" s="1383"/>
      <c r="B61" s="1383"/>
      <c r="C61" s="1383"/>
      <c r="D61" s="1383"/>
      <c r="E61" s="1383"/>
      <c r="F61" s="1383"/>
      <c r="G61" s="1383"/>
      <c r="H61" s="1383"/>
      <c r="I61" s="1383"/>
      <c r="J61" s="1383"/>
      <c r="K61" s="1370"/>
    </row>
    <row r="62" spans="1:19">
      <c r="A62" s="1383"/>
      <c r="B62" s="1383"/>
      <c r="C62" s="1383"/>
      <c r="D62" s="1383"/>
      <c r="E62" s="1383"/>
      <c r="F62" s="1383"/>
      <c r="G62" s="1383"/>
      <c r="H62" s="1383"/>
      <c r="I62" s="1383"/>
      <c r="J62" s="1383"/>
      <c r="K62" s="1370"/>
    </row>
    <row r="63" spans="1:19">
      <c r="A63" s="1383"/>
      <c r="B63" s="1383"/>
      <c r="C63" s="1383"/>
      <c r="D63" s="1383"/>
      <c r="E63" s="1383"/>
      <c r="F63" s="1383"/>
      <c r="G63" s="1383"/>
      <c r="H63" s="1383"/>
      <c r="I63" s="1383"/>
      <c r="J63" s="1383"/>
      <c r="K63" s="1370"/>
    </row>
    <row r="64" spans="1:19">
      <c r="A64" s="1383"/>
      <c r="B64" s="1383"/>
      <c r="C64" s="1383"/>
      <c r="D64" s="1383"/>
      <c r="E64" s="1383"/>
      <c r="F64" s="1383"/>
      <c r="G64" s="1383"/>
      <c r="H64" s="1383"/>
      <c r="I64" s="1383"/>
      <c r="J64" s="1383"/>
      <c r="K64" s="1370"/>
    </row>
    <row r="65" spans="1:11">
      <c r="A65" s="1383"/>
      <c r="B65" s="1383"/>
      <c r="C65" s="1383"/>
      <c r="D65" s="1383"/>
      <c r="E65" s="1383"/>
      <c r="F65" s="1383"/>
      <c r="G65" s="1383"/>
      <c r="H65" s="1383"/>
      <c r="I65" s="1383"/>
      <c r="J65" s="1383"/>
      <c r="K65" s="1370"/>
    </row>
    <row r="66" spans="1:11">
      <c r="A66" s="1383"/>
      <c r="B66" s="1383"/>
      <c r="C66" s="1383"/>
      <c r="D66" s="1383"/>
      <c r="E66" s="1383"/>
      <c r="F66" s="1383"/>
      <c r="G66" s="1383"/>
      <c r="H66" s="1383"/>
      <c r="I66" s="1383"/>
      <c r="J66" s="1383"/>
      <c r="K66" s="1370"/>
    </row>
    <row r="67" spans="1:11">
      <c r="A67" s="1383"/>
      <c r="B67" s="1383"/>
      <c r="C67" s="1383"/>
      <c r="D67" s="1383"/>
      <c r="E67" s="1383"/>
      <c r="F67" s="1383"/>
      <c r="G67" s="1383"/>
      <c r="H67" s="1383"/>
      <c r="I67" s="1383"/>
      <c r="J67" s="1383"/>
      <c r="K67" s="1370"/>
    </row>
    <row r="68" spans="1:11">
      <c r="A68" s="1383"/>
      <c r="B68" s="1383"/>
      <c r="C68" s="1383"/>
      <c r="D68" s="1383"/>
      <c r="E68" s="1383"/>
      <c r="F68" s="1383"/>
      <c r="G68" s="1383"/>
      <c r="H68" s="1383"/>
      <c r="I68" s="1383"/>
      <c r="J68" s="1383"/>
      <c r="K68" s="1370"/>
    </row>
    <row r="69" spans="1:11">
      <c r="A69" s="1382"/>
      <c r="B69" s="1388"/>
      <c r="C69" s="1382"/>
      <c r="D69" s="1382"/>
      <c r="E69" s="1382"/>
      <c r="F69" s="1382"/>
      <c r="G69" s="1382"/>
      <c r="H69" s="1382"/>
      <c r="I69" s="1382"/>
      <c r="J69" s="1382"/>
    </row>
    <row r="70" spans="1:11">
      <c r="A70" s="1382"/>
      <c r="B70" s="1388"/>
      <c r="C70" s="1382"/>
      <c r="D70" s="1382"/>
      <c r="E70" s="1382"/>
      <c r="F70" s="1382"/>
      <c r="G70" s="1382"/>
      <c r="H70" s="1382"/>
      <c r="I70" s="1382"/>
      <c r="J70" s="1382"/>
    </row>
    <row r="71" spans="1:11">
      <c r="A71" s="1382"/>
      <c r="B71" s="1388"/>
      <c r="C71" s="1382"/>
      <c r="D71" s="1382"/>
      <c r="E71" s="1382"/>
      <c r="F71" s="1382"/>
      <c r="G71" s="1382"/>
      <c r="H71" s="1382"/>
      <c r="I71" s="1382"/>
      <c r="J71" s="1382"/>
    </row>
    <row r="72" spans="1:11">
      <c r="A72" s="1382"/>
      <c r="B72" s="1388"/>
      <c r="C72" s="1382"/>
      <c r="D72" s="1382"/>
      <c r="E72" s="1382"/>
      <c r="F72" s="1382"/>
      <c r="G72" s="1382"/>
      <c r="H72" s="1382"/>
      <c r="I72" s="1382"/>
      <c r="J72" s="1382"/>
    </row>
    <row r="73" spans="1:11">
      <c r="A73" s="1382"/>
      <c r="B73" s="1388"/>
      <c r="C73" s="1382"/>
      <c r="D73" s="1382"/>
      <c r="E73" s="1382"/>
      <c r="F73" s="1382"/>
      <c r="G73" s="1382"/>
      <c r="H73" s="1382"/>
      <c r="I73" s="1382"/>
      <c r="J73" s="1382"/>
    </row>
    <row r="74" spans="1:11">
      <c r="A74" s="1382"/>
      <c r="B74" s="1388"/>
      <c r="C74" s="1382"/>
      <c r="D74" s="1382"/>
      <c r="E74" s="1382"/>
      <c r="F74" s="1382"/>
      <c r="G74" s="1382"/>
      <c r="H74" s="1382"/>
      <c r="I74" s="1382"/>
      <c r="J74" s="1382"/>
    </row>
    <row r="75" spans="1:11">
      <c r="A75" s="1382"/>
      <c r="B75" s="1387"/>
      <c r="C75" s="1382"/>
      <c r="D75" s="1382"/>
      <c r="E75" s="1382"/>
      <c r="F75" s="1382"/>
      <c r="G75" s="1382"/>
      <c r="H75" s="1382"/>
      <c r="I75" s="1382"/>
      <c r="J75" s="1382"/>
    </row>
    <row r="76" spans="1:11">
      <c r="A76" s="1382"/>
      <c r="B76" s="1389"/>
      <c r="C76" s="1382"/>
      <c r="D76" s="1382"/>
      <c r="E76" s="1382"/>
      <c r="F76" s="1382"/>
      <c r="G76" s="1382"/>
      <c r="H76" s="1382"/>
      <c r="I76" s="1382"/>
      <c r="J76" s="1382"/>
    </row>
    <row r="77" spans="1:11">
      <c r="A77" s="1382"/>
      <c r="B77" s="1389"/>
      <c r="C77" s="1382"/>
      <c r="D77" s="1382"/>
      <c r="E77" s="1382"/>
      <c r="F77" s="1382"/>
      <c r="G77" s="1382"/>
      <c r="H77" s="1382"/>
      <c r="I77" s="1382"/>
      <c r="J77" s="1382"/>
    </row>
    <row r="78" spans="1:11">
      <c r="A78" s="1382"/>
      <c r="B78" s="1389"/>
      <c r="C78" s="1382"/>
      <c r="D78" s="1382"/>
      <c r="E78" s="1382"/>
      <c r="F78" s="1382"/>
      <c r="G78" s="1382"/>
      <c r="H78" s="1382"/>
      <c r="I78" s="1382"/>
      <c r="J78" s="1382"/>
    </row>
    <row r="79" spans="1:11">
      <c r="A79" s="1382"/>
      <c r="B79" s="1389"/>
      <c r="C79" s="1382"/>
      <c r="D79" s="1390"/>
      <c r="E79" s="1390"/>
      <c r="F79" s="1390"/>
      <c r="G79" s="1382"/>
      <c r="H79" s="1382"/>
      <c r="I79" s="1382"/>
      <c r="J79" s="1382"/>
    </row>
    <row r="80" spans="1:11">
      <c r="A80" s="1391"/>
      <c r="B80" s="1383"/>
      <c r="C80" s="1383"/>
      <c r="D80" s="1383"/>
      <c r="E80" s="1383"/>
      <c r="F80" s="1383"/>
      <c r="G80" s="1383"/>
      <c r="H80" s="1383"/>
      <c r="I80" s="1383"/>
      <c r="J80" s="1383"/>
      <c r="K80" s="1370"/>
    </row>
    <row r="81" spans="1:11">
      <c r="A81" s="1383"/>
      <c r="B81" s="1383"/>
      <c r="C81" s="1383"/>
      <c r="D81" s="1383"/>
      <c r="E81" s="1383"/>
      <c r="F81" s="1383"/>
      <c r="G81" s="1383"/>
      <c r="H81" s="1383"/>
      <c r="I81" s="1383"/>
      <c r="J81" s="1383"/>
      <c r="K81" s="1370"/>
    </row>
    <row r="82" spans="1:11">
      <c r="A82" s="1383"/>
      <c r="B82" s="1383"/>
      <c r="C82" s="1383"/>
      <c r="D82" s="1383"/>
      <c r="E82" s="1383"/>
      <c r="F82" s="1383"/>
      <c r="G82" s="1383"/>
      <c r="H82" s="1383"/>
      <c r="I82" s="1383"/>
      <c r="J82" s="1383"/>
      <c r="K82" s="1370"/>
    </row>
    <row r="83" spans="1:11">
      <c r="A83" s="1383"/>
      <c r="B83" s="1383"/>
      <c r="C83" s="1383"/>
      <c r="D83" s="1383"/>
      <c r="E83" s="1383"/>
      <c r="F83" s="1383"/>
      <c r="G83" s="1383"/>
      <c r="H83" s="1383"/>
      <c r="I83" s="1383"/>
      <c r="J83" s="1383"/>
      <c r="K83" s="1370"/>
    </row>
    <row r="84" spans="1:11">
      <c r="A84" s="1383"/>
      <c r="B84" s="1383"/>
      <c r="C84" s="1383"/>
      <c r="D84" s="1392"/>
      <c r="E84" s="1392"/>
      <c r="F84" s="1392"/>
      <c r="G84" s="1383"/>
      <c r="H84" s="1383"/>
      <c r="I84" s="1383"/>
      <c r="J84" s="1383"/>
      <c r="K84" s="1370"/>
    </row>
    <row r="85" spans="1:11">
      <c r="A85" s="1370"/>
      <c r="B85" s="1370"/>
      <c r="C85" s="1370"/>
      <c r="D85" s="1373"/>
      <c r="E85" s="1373"/>
      <c r="F85" s="1373"/>
      <c r="G85" s="1370"/>
      <c r="H85" s="1370"/>
      <c r="I85" s="1370"/>
      <c r="J85" s="1370"/>
      <c r="K85" s="1370"/>
    </row>
    <row r="86" spans="1:11">
      <c r="A86" s="1370"/>
      <c r="B86" s="1370"/>
      <c r="C86" s="1370"/>
      <c r="D86" s="1376"/>
      <c r="E86" s="1376"/>
      <c r="F86" s="1376"/>
      <c r="G86" s="1370"/>
      <c r="H86" s="1370"/>
      <c r="I86" s="1370"/>
      <c r="J86" s="1370"/>
      <c r="K86" s="1370"/>
    </row>
    <row r="87" spans="1:11">
      <c r="A87" s="1370"/>
      <c r="B87" s="1370"/>
      <c r="C87" s="1370"/>
      <c r="D87" s="1370"/>
      <c r="E87" s="1370"/>
      <c r="F87" s="1370"/>
      <c r="G87" s="1370"/>
      <c r="H87" s="1370"/>
      <c r="I87" s="1370"/>
      <c r="J87" s="1370"/>
      <c r="K87" s="1370"/>
    </row>
    <row r="88" spans="1:11">
      <c r="A88" s="1370"/>
      <c r="B88" s="1370"/>
      <c r="C88" s="1370"/>
      <c r="D88" s="1370"/>
      <c r="E88" s="1370"/>
      <c r="F88" s="1370"/>
      <c r="G88" s="1370"/>
      <c r="H88" s="1370"/>
      <c r="I88" s="1370"/>
      <c r="J88" s="1370"/>
      <c r="K88" s="1370"/>
    </row>
    <row r="89" spans="1:11">
      <c r="A89" s="1370"/>
      <c r="B89" s="1370"/>
      <c r="C89" s="1370"/>
      <c r="D89" s="1370"/>
      <c r="E89" s="1370"/>
      <c r="F89" s="1370"/>
      <c r="G89" s="1370"/>
      <c r="H89" s="1370"/>
      <c r="I89" s="1370"/>
      <c r="J89" s="1370"/>
      <c r="K89" s="1370"/>
    </row>
    <row r="90" spans="1:11">
      <c r="A90" s="1370"/>
      <c r="C90" s="1370"/>
      <c r="D90" s="1370"/>
      <c r="E90" s="1370"/>
      <c r="F90" s="1370"/>
      <c r="G90" s="1370"/>
      <c r="H90" s="1370"/>
      <c r="I90" s="1370"/>
      <c r="J90" s="1370"/>
      <c r="K90" s="1370"/>
    </row>
    <row r="91" spans="1:11">
      <c r="A91" s="1370"/>
      <c r="B91" s="1370"/>
      <c r="C91" s="1370"/>
      <c r="D91" s="1370"/>
      <c r="E91" s="1370"/>
      <c r="F91" s="1370"/>
      <c r="G91" s="1370"/>
      <c r="H91" s="1370"/>
      <c r="I91" s="1370"/>
      <c r="J91" s="1370"/>
      <c r="K91" s="1370"/>
    </row>
    <row r="92" spans="1:11">
      <c r="A92" s="1370"/>
      <c r="B92" s="1370"/>
      <c r="C92" s="1370"/>
      <c r="D92" s="1370"/>
      <c r="E92" s="1370"/>
      <c r="F92" s="1370"/>
      <c r="G92" s="1370"/>
      <c r="H92" s="1370"/>
      <c r="I92" s="1370"/>
      <c r="J92" s="1370"/>
      <c r="K92" s="1370"/>
    </row>
  </sheetData>
  <mergeCells count="11">
    <mergeCell ref="B52:I53"/>
    <mergeCell ref="I9:J9"/>
    <mergeCell ref="K9:M9"/>
    <mergeCell ref="O9:P9"/>
    <mergeCell ref="Q9:R9"/>
    <mergeCell ref="Q11:R11"/>
    <mergeCell ref="S17:S18"/>
    <mergeCell ref="B32:C32"/>
    <mergeCell ref="B35:J40"/>
    <mergeCell ref="B44:J45"/>
    <mergeCell ref="B49:I50"/>
  </mergeCells>
  <pageMargins left="0.7" right="0.7" top="0.75" bottom="0.75" header="0.3" footer="0.3"/>
  <pageSetup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S62"/>
  <sheetViews>
    <sheetView workbookViewId="0"/>
  </sheetViews>
  <sheetFormatPr defaultColWidth="11.85546875" defaultRowHeight="12.75"/>
  <cols>
    <col min="1" max="1" width="9" style="1393" customWidth="1"/>
    <col min="2" max="2" width="15" style="1394" bestFit="1" customWidth="1"/>
    <col min="3" max="3" width="4.140625" style="1394" customWidth="1"/>
    <col min="4" max="4" width="21" style="1394" bestFit="1" customWidth="1"/>
    <col min="5" max="5" width="29.7109375" style="1394" bestFit="1" customWidth="1"/>
    <col min="6" max="6" width="21.42578125" style="1394" customWidth="1"/>
    <col min="7" max="7" width="3.42578125" style="1394" customWidth="1"/>
    <col min="8" max="8" width="16.7109375" style="1394" customWidth="1"/>
    <col min="9" max="9" width="3.5703125" style="1394" customWidth="1"/>
    <col min="10" max="10" width="17.42578125" style="1394" customWidth="1"/>
    <col min="11" max="11" width="3.5703125" style="1394" customWidth="1"/>
    <col min="12" max="12" width="20.5703125" style="1394" customWidth="1"/>
    <col min="13" max="13" width="16.7109375" style="1394" customWidth="1"/>
    <col min="14" max="14" width="3.5703125" style="1394" customWidth="1"/>
    <col min="15" max="15" width="19.140625" style="1394" bestFit="1" customWidth="1"/>
    <col min="16" max="16" width="16" style="1397" bestFit="1" customWidth="1"/>
    <col min="17" max="17" width="15.28515625" style="1394" bestFit="1" customWidth="1"/>
    <col min="18" max="16384" width="11.85546875" style="1394"/>
  </cols>
  <sheetData>
    <row r="1" spans="1:18" ht="15">
      <c r="A1" s="1393" t="s">
        <v>1013</v>
      </c>
      <c r="L1" s="1395"/>
      <c r="M1" s="1395"/>
      <c r="O1" s="1396" t="s">
        <v>1014</v>
      </c>
    </row>
    <row r="2" spans="1:18">
      <c r="A2" s="1398" t="s">
        <v>1015</v>
      </c>
      <c r="O2" s="1322" t="s">
        <v>1016</v>
      </c>
    </row>
    <row r="3" spans="1:18">
      <c r="A3" s="1393" t="s">
        <v>1002</v>
      </c>
      <c r="O3" s="1322" t="s">
        <v>1017</v>
      </c>
    </row>
    <row r="4" spans="1:18">
      <c r="A4" s="1393" t="s">
        <v>1018</v>
      </c>
      <c r="O4" s="1396" t="s">
        <v>1019</v>
      </c>
    </row>
    <row r="5" spans="1:18">
      <c r="A5" s="1393" t="s">
        <v>1004</v>
      </c>
    </row>
    <row r="6" spans="1:18">
      <c r="A6" s="1393" t="s">
        <v>889</v>
      </c>
    </row>
    <row r="7" spans="1:18">
      <c r="A7" s="1532" t="s">
        <v>1020</v>
      </c>
      <c r="B7" s="1532"/>
      <c r="C7" s="1532"/>
      <c r="D7" s="1532"/>
      <c r="E7" s="1532"/>
      <c r="F7" s="1532"/>
      <c r="G7" s="1532"/>
      <c r="H7" s="1532"/>
      <c r="I7" s="1532"/>
      <c r="J7" s="1532"/>
      <c r="K7" s="1532"/>
      <c r="L7" s="1532"/>
      <c r="M7" s="1399"/>
      <c r="N7" s="1400"/>
      <c r="O7" s="1400"/>
    </row>
    <row r="8" spans="1:18">
      <c r="A8" s="1401"/>
    </row>
    <row r="9" spans="1:18">
      <c r="A9" s="1402" t="s">
        <v>440</v>
      </c>
      <c r="B9" s="1403" t="s">
        <v>441</v>
      </c>
      <c r="C9" s="1403"/>
      <c r="D9" s="1403" t="s">
        <v>442</v>
      </c>
      <c r="E9" s="1403" t="s">
        <v>443</v>
      </c>
      <c r="F9" s="1403" t="s">
        <v>444</v>
      </c>
      <c r="G9" s="1403"/>
      <c r="H9" s="1403" t="s">
        <v>1021</v>
      </c>
      <c r="I9" s="1403"/>
      <c r="J9" s="1403" t="s">
        <v>446</v>
      </c>
      <c r="K9" s="1403"/>
      <c r="L9" s="1403" t="s">
        <v>1022</v>
      </c>
      <c r="M9" s="1403" t="s">
        <v>448</v>
      </c>
      <c r="N9" s="1403"/>
      <c r="O9" s="1403" t="s">
        <v>1023</v>
      </c>
      <c r="R9" s="1533"/>
    </row>
    <row r="10" spans="1:18">
      <c r="A10" s="1401"/>
      <c r="F10" s="1405"/>
      <c r="G10" s="1405"/>
      <c r="H10" s="1405"/>
      <c r="R10" s="1533"/>
    </row>
    <row r="11" spans="1:18" ht="38.25">
      <c r="A11" s="1406" t="s">
        <v>1024</v>
      </c>
      <c r="B11" s="1394" t="s">
        <v>1025</v>
      </c>
      <c r="D11" s="1404" t="s">
        <v>1026</v>
      </c>
      <c r="E11" s="1403" t="s">
        <v>903</v>
      </c>
      <c r="F11" s="1407" t="s">
        <v>1027</v>
      </c>
      <c r="G11" s="1407"/>
      <c r="H11" s="1407" t="s">
        <v>1028</v>
      </c>
      <c r="I11" s="1225"/>
      <c r="J11" s="1407" t="s">
        <v>1029</v>
      </c>
      <c r="K11" s="1408"/>
      <c r="L11" s="1407" t="s">
        <v>1030</v>
      </c>
      <c r="M11" s="1409" t="s">
        <v>1031</v>
      </c>
      <c r="O11" s="1404" t="s">
        <v>1032</v>
      </c>
    </row>
    <row r="12" spans="1:18">
      <c r="D12" s="1397"/>
      <c r="E12" s="1397"/>
      <c r="F12" s="1397"/>
      <c r="G12" s="1397"/>
      <c r="H12" s="1397"/>
      <c r="I12" s="1397"/>
      <c r="J12" s="1397"/>
      <c r="K12" s="1397"/>
      <c r="L12" s="1397"/>
      <c r="M12" s="1397"/>
      <c r="N12" s="1397"/>
      <c r="O12" s="1397"/>
    </row>
    <row r="13" spans="1:18" ht="15.6" customHeight="1">
      <c r="A13" s="1402">
        <v>1</v>
      </c>
      <c r="B13" s="1410" t="s">
        <v>1033</v>
      </c>
      <c r="D13" s="1397">
        <v>12826063</v>
      </c>
      <c r="E13" s="1397" t="s">
        <v>1034</v>
      </c>
      <c r="N13" s="1397"/>
      <c r="O13" s="1397"/>
    </row>
    <row r="14" spans="1:18">
      <c r="A14" s="1402">
        <f>+A13+1</f>
        <v>2</v>
      </c>
      <c r="B14" s="1410"/>
      <c r="D14" s="1411">
        <v>408997.54000000004</v>
      </c>
      <c r="E14" s="1397" t="s">
        <v>1035</v>
      </c>
      <c r="F14" s="1412"/>
      <c r="G14" s="1412"/>
      <c r="H14" s="1412"/>
      <c r="I14" s="1413"/>
      <c r="J14" s="1412"/>
      <c r="K14" s="1397"/>
      <c r="L14" s="1412"/>
      <c r="M14" s="1412"/>
      <c r="N14" s="1397"/>
      <c r="O14" s="1397"/>
    </row>
    <row r="15" spans="1:18">
      <c r="A15" s="1402">
        <f>+A14+1</f>
        <v>3</v>
      </c>
      <c r="B15" s="1410" t="s">
        <v>1036</v>
      </c>
      <c r="D15" s="1397">
        <f>+D13-D14</f>
        <v>12417065.460000001</v>
      </c>
      <c r="F15" s="1414">
        <v>4965921.99</v>
      </c>
      <c r="G15" s="1414"/>
      <c r="H15" s="1415">
        <f>+F15/D15</f>
        <v>0.39992718134547062</v>
      </c>
      <c r="I15" s="1416"/>
      <c r="J15" s="1414">
        <f>-F15</f>
        <v>-4965921.99</v>
      </c>
      <c r="K15" s="1414"/>
      <c r="L15" s="1414">
        <f>+F15+J15</f>
        <v>0</v>
      </c>
      <c r="M15" s="1414"/>
      <c r="N15" s="1397"/>
      <c r="O15" s="1397">
        <f>+D15-L15</f>
        <v>12417065.460000001</v>
      </c>
    </row>
    <row r="16" spans="1:18">
      <c r="B16" s="1410"/>
      <c r="D16" s="1397"/>
      <c r="E16" s="1397"/>
      <c r="F16" s="1417"/>
      <c r="G16" s="1417"/>
      <c r="H16" s="1417"/>
      <c r="I16" s="1418"/>
      <c r="J16" s="1414"/>
      <c r="K16" s="1414"/>
      <c r="L16" s="1414"/>
      <c r="M16" s="1414"/>
      <c r="N16" s="1397"/>
      <c r="O16" s="1397"/>
    </row>
    <row r="17" spans="1:16">
      <c r="A17" s="1402">
        <f>+A15+1</f>
        <v>4</v>
      </c>
      <c r="B17" s="1410" t="s">
        <v>1037</v>
      </c>
      <c r="D17" s="1397">
        <v>-143893994</v>
      </c>
      <c r="E17" s="1397" t="s">
        <v>1038</v>
      </c>
      <c r="F17" s="1414">
        <v>-57557597.560000002</v>
      </c>
      <c r="G17" s="1414"/>
      <c r="H17" s="1415">
        <f>+F17/D17</f>
        <v>0.39999999972201761</v>
      </c>
      <c r="I17" s="1419"/>
      <c r="J17" s="1414">
        <v>0</v>
      </c>
      <c r="K17" s="1414"/>
      <c r="L17" s="1414">
        <f>+F17+J17-L18</f>
        <v>-56915862.560000002</v>
      </c>
      <c r="M17" s="1414" t="s">
        <v>915</v>
      </c>
      <c r="N17" s="1397"/>
      <c r="O17" s="1397">
        <f>+D17-L17</f>
        <v>-86978131.439999998</v>
      </c>
    </row>
    <row r="18" spans="1:16">
      <c r="B18" s="1410"/>
      <c r="D18" s="1397"/>
      <c r="E18" s="1397"/>
      <c r="F18" s="1420"/>
      <c r="G18" s="1420"/>
      <c r="H18" s="1420"/>
      <c r="I18" s="1421"/>
      <c r="J18" s="1414"/>
      <c r="K18" s="1414"/>
      <c r="L18" s="1422">
        <v>-641735</v>
      </c>
      <c r="M18" s="1414" t="s">
        <v>919</v>
      </c>
      <c r="N18" s="1397"/>
      <c r="O18" s="1397"/>
    </row>
    <row r="19" spans="1:16">
      <c r="A19" s="1402">
        <f>+A17+1</f>
        <v>5</v>
      </c>
      <c r="B19" s="1410" t="s">
        <v>1039</v>
      </c>
      <c r="D19" s="1397">
        <v>-29500215</v>
      </c>
      <c r="E19" s="1397" t="s">
        <v>1040</v>
      </c>
      <c r="F19" s="1420"/>
      <c r="G19" s="1420"/>
      <c r="H19" s="1420"/>
      <c r="I19" s="1420"/>
      <c r="J19" s="1420"/>
      <c r="K19" s="1420"/>
      <c r="L19" s="1420"/>
      <c r="M19" s="1420"/>
      <c r="P19" s="1394"/>
    </row>
    <row r="20" spans="1:16">
      <c r="A20" s="1402">
        <f>+A19+1</f>
        <v>6</v>
      </c>
      <c r="B20" s="1410"/>
      <c r="D20" s="1411">
        <v>-28885162</v>
      </c>
      <c r="E20" s="1397" t="s">
        <v>1041</v>
      </c>
      <c r="F20" s="1423"/>
      <c r="G20" s="1423"/>
      <c r="H20" s="1423"/>
      <c r="I20" s="1418"/>
      <c r="J20" s="1414"/>
      <c r="K20" s="1414"/>
      <c r="L20" s="1414"/>
      <c r="M20" s="1414"/>
      <c r="N20" s="1397"/>
      <c r="O20" s="1397"/>
    </row>
    <row r="21" spans="1:16">
      <c r="A21" s="1402">
        <f>+A20+1</f>
        <v>7</v>
      </c>
      <c r="B21" s="1410" t="s">
        <v>992</v>
      </c>
      <c r="D21" s="1397">
        <f>+D19-D20</f>
        <v>-615053</v>
      </c>
      <c r="E21" s="1397"/>
      <c r="F21" s="1414">
        <v>-246021.07</v>
      </c>
      <c r="G21" s="1414"/>
      <c r="H21" s="1415">
        <f>+F21/D21</f>
        <v>0.39999978863610131</v>
      </c>
      <c r="I21" s="1418"/>
      <c r="J21" s="1414">
        <f>-J15-J17</f>
        <v>4965921.99</v>
      </c>
      <c r="K21" s="1414"/>
      <c r="L21" s="1414">
        <f>+F21+J21</f>
        <v>4719900.92</v>
      </c>
      <c r="M21" s="1414" t="s">
        <v>919</v>
      </c>
      <c r="N21" s="1397"/>
      <c r="O21" s="1397">
        <f>+D21-L21</f>
        <v>-5334953.92</v>
      </c>
    </row>
    <row r="22" spans="1:16">
      <c r="D22" s="1397"/>
      <c r="E22" s="1397"/>
      <c r="F22" s="1424"/>
      <c r="G22" s="1424"/>
      <c r="H22" s="1424"/>
      <c r="I22" s="1413"/>
      <c r="J22" s="1397"/>
      <c r="K22" s="1397"/>
      <c r="L22" s="1397"/>
      <c r="M22" s="1397"/>
      <c r="N22" s="1397"/>
      <c r="O22" s="1397"/>
    </row>
    <row r="23" spans="1:16">
      <c r="A23" s="1402">
        <f>+A21+1</f>
        <v>8</v>
      </c>
      <c r="B23" s="1394" t="s">
        <v>412</v>
      </c>
      <c r="D23" s="1425">
        <f>+D21+D17+D15</f>
        <v>-132091981.53999999</v>
      </c>
      <c r="E23" s="1397"/>
      <c r="F23" s="1425">
        <f>SUM(F14:F21)</f>
        <v>-52837696.640000001</v>
      </c>
      <c r="G23" s="1426"/>
      <c r="H23" s="1427"/>
      <c r="I23" s="1412"/>
      <c r="J23" s="1425">
        <f>SUM(J14:J21)</f>
        <v>0</v>
      </c>
      <c r="K23" s="1397"/>
      <c r="L23" s="1425">
        <f>SUM(L14:L21)</f>
        <v>-52837696.640000001</v>
      </c>
      <c r="M23" s="1426"/>
      <c r="N23" s="1397"/>
      <c r="O23" s="1425">
        <f>SUM(O14:O21)</f>
        <v>-79896019.899999991</v>
      </c>
    </row>
    <row r="24" spans="1:16">
      <c r="D24" s="1397"/>
      <c r="E24" s="1397"/>
      <c r="F24" s="1424"/>
      <c r="G24" s="1424"/>
      <c r="H24" s="1424"/>
      <c r="I24" s="1424"/>
      <c r="J24" s="1397"/>
      <c r="K24" s="1397"/>
      <c r="L24" s="1397"/>
      <c r="M24" s="1397"/>
      <c r="N24" s="1397"/>
      <c r="O24" s="1397"/>
    </row>
    <row r="25" spans="1:16">
      <c r="D25" s="1397"/>
      <c r="E25" s="1397"/>
      <c r="F25" s="1424"/>
      <c r="G25" s="1424"/>
      <c r="H25" s="1424"/>
      <c r="I25" s="1424"/>
      <c r="J25" s="1397"/>
      <c r="K25" s="1397"/>
      <c r="L25" s="1397"/>
      <c r="M25" s="1397"/>
      <c r="N25" s="1397"/>
      <c r="O25" s="1397"/>
    </row>
    <row r="26" spans="1:16" ht="12.75" customHeight="1">
      <c r="A26" s="1534" t="s">
        <v>1042</v>
      </c>
      <c r="B26" s="1534"/>
      <c r="C26" s="1534"/>
      <c r="D26" s="1534"/>
      <c r="E26" s="1534"/>
      <c r="F26" s="1534"/>
      <c r="G26" s="1534"/>
      <c r="H26" s="1534"/>
      <c r="I26" s="1534"/>
      <c r="J26" s="1428"/>
      <c r="K26" s="1428"/>
      <c r="L26" s="1397"/>
      <c r="M26" s="1397"/>
      <c r="N26" s="1397"/>
      <c r="O26" s="1397"/>
    </row>
    <row r="27" spans="1:16">
      <c r="A27" s="1534"/>
      <c r="B27" s="1534"/>
      <c r="C27" s="1534"/>
      <c r="D27" s="1534"/>
      <c r="E27" s="1534"/>
      <c r="F27" s="1534"/>
      <c r="G27" s="1534"/>
      <c r="H27" s="1534"/>
      <c r="I27" s="1534"/>
      <c r="J27" s="1428"/>
      <c r="K27" s="1428"/>
      <c r="L27" s="1397"/>
      <c r="M27" s="1397"/>
      <c r="N27" s="1397"/>
      <c r="O27" s="1397"/>
    </row>
    <row r="28" spans="1:16">
      <c r="A28" s="1534"/>
      <c r="B28" s="1534"/>
      <c r="C28" s="1534"/>
      <c r="D28" s="1534"/>
      <c r="E28" s="1534"/>
      <c r="F28" s="1534"/>
      <c r="G28" s="1534"/>
      <c r="H28" s="1534"/>
      <c r="I28" s="1534"/>
      <c r="J28" s="1428"/>
      <c r="K28" s="1428"/>
      <c r="L28" s="1397"/>
      <c r="M28" s="1397"/>
      <c r="N28" s="1397"/>
      <c r="O28" s="1397"/>
    </row>
    <row r="29" spans="1:16">
      <c r="A29" s="1429"/>
      <c r="B29" s="1429"/>
      <c r="C29" s="1429"/>
      <c r="D29" s="1429"/>
      <c r="E29" s="1429"/>
      <c r="F29" s="1429"/>
      <c r="G29" s="1429"/>
      <c r="H29" s="1429"/>
      <c r="I29" s="1429"/>
      <c r="J29" s="1428"/>
      <c r="K29" s="1428"/>
      <c r="N29" s="1397"/>
      <c r="O29" s="1397"/>
    </row>
    <row r="30" spans="1:16" ht="38.25" customHeight="1">
      <c r="A30" s="1430" t="s">
        <v>1043</v>
      </c>
      <c r="B30" s="1534" t="s">
        <v>1044</v>
      </c>
      <c r="C30" s="1534"/>
      <c r="D30" s="1534"/>
      <c r="E30" s="1534"/>
      <c r="F30" s="1534"/>
      <c r="G30" s="1534"/>
      <c r="H30" s="1534"/>
      <c r="I30" s="1534"/>
      <c r="J30" s="1534"/>
      <c r="K30" s="1534"/>
      <c r="N30" s="1397"/>
      <c r="O30" s="1397"/>
    </row>
    <row r="31" spans="1:16">
      <c r="A31" s="1406" t="s">
        <v>1045</v>
      </c>
      <c r="B31" s="1535" t="s">
        <v>1046</v>
      </c>
      <c r="C31" s="1535"/>
      <c r="D31" s="1535"/>
      <c r="E31" s="1535"/>
      <c r="F31" s="1535"/>
      <c r="G31" s="1535"/>
      <c r="H31" s="1535"/>
      <c r="I31" s="1412"/>
      <c r="J31" s="1397"/>
      <c r="K31" s="1397"/>
      <c r="N31" s="1397"/>
      <c r="O31" s="1397"/>
    </row>
    <row r="32" spans="1:16" ht="12.6" customHeight="1">
      <c r="A32" s="1406"/>
      <c r="B32" s="1535"/>
      <c r="C32" s="1535"/>
      <c r="D32" s="1535"/>
      <c r="E32" s="1535"/>
      <c r="F32" s="1535"/>
      <c r="G32" s="1535"/>
      <c r="H32" s="1535"/>
      <c r="J32" s="1397"/>
      <c r="K32" s="1397"/>
      <c r="N32" s="1397"/>
      <c r="O32" s="1397"/>
    </row>
    <row r="33" spans="1:19">
      <c r="A33" s="1406"/>
      <c r="B33" s="1431"/>
      <c r="C33" s="1431"/>
      <c r="D33" s="1431"/>
      <c r="E33" s="1431"/>
      <c r="F33" s="1431"/>
      <c r="G33" s="1431"/>
      <c r="H33" s="1431"/>
    </row>
    <row r="34" spans="1:19">
      <c r="A34" s="1406" t="s">
        <v>1047</v>
      </c>
      <c r="B34" s="1535" t="s">
        <v>1048</v>
      </c>
      <c r="C34" s="1535"/>
      <c r="D34" s="1535"/>
      <c r="E34" s="1535"/>
      <c r="F34" s="1535"/>
      <c r="G34" s="1535"/>
      <c r="H34" s="1535"/>
      <c r="I34" s="1535"/>
    </row>
    <row r="35" spans="1:19" ht="12.6" customHeight="1">
      <c r="A35" s="1406"/>
      <c r="B35" s="1535"/>
      <c r="C35" s="1535"/>
      <c r="D35" s="1535"/>
      <c r="E35" s="1535"/>
      <c r="F35" s="1535"/>
      <c r="G35" s="1535"/>
      <c r="H35" s="1535"/>
      <c r="I35" s="1535"/>
    </row>
    <row r="36" spans="1:19">
      <c r="A36" s="1394"/>
    </row>
    <row r="37" spans="1:19" ht="12.75" customHeight="1">
      <c r="A37" s="1406" t="s">
        <v>1049</v>
      </c>
      <c r="B37" s="1531" t="s">
        <v>1050</v>
      </c>
      <c r="C37" s="1531"/>
      <c r="D37" s="1531"/>
      <c r="E37" s="1531"/>
      <c r="F37" s="1531"/>
    </row>
    <row r="38" spans="1:19">
      <c r="A38" s="1406"/>
      <c r="B38" s="1531"/>
      <c r="C38" s="1531"/>
      <c r="D38" s="1531"/>
      <c r="E38" s="1531"/>
      <c r="F38" s="1531"/>
      <c r="J38" s="1412"/>
      <c r="K38" s="1412"/>
      <c r="L38" s="1412"/>
      <c r="M38" s="1412"/>
      <c r="N38" s="1412"/>
      <c r="O38" s="1412"/>
      <c r="P38" s="1412"/>
      <c r="Q38" s="1412"/>
      <c r="R38" s="1412"/>
      <c r="S38" s="1412"/>
    </row>
    <row r="39" spans="1:19">
      <c r="A39" s="1412"/>
      <c r="B39" s="1412"/>
      <c r="C39" s="1412"/>
      <c r="D39" s="1412"/>
      <c r="E39" s="1412"/>
      <c r="F39" s="1412"/>
      <c r="G39" s="1412"/>
      <c r="H39" s="1412"/>
      <c r="I39" s="1412"/>
      <c r="J39" s="1412"/>
      <c r="K39" s="1412"/>
      <c r="L39" s="1412"/>
      <c r="M39" s="1412"/>
      <c r="N39" s="1412"/>
      <c r="O39" s="1412"/>
      <c r="P39" s="1412"/>
      <c r="Q39" s="1412"/>
      <c r="R39" s="1412"/>
      <c r="S39" s="1412"/>
    </row>
    <row r="40" spans="1:19">
      <c r="A40" s="1412"/>
      <c r="B40" s="1412"/>
      <c r="C40" s="1412"/>
      <c r="D40" s="1412"/>
      <c r="E40" s="1412"/>
      <c r="F40" s="1412"/>
      <c r="G40" s="1412"/>
      <c r="H40" s="1412"/>
      <c r="I40" s="1412"/>
      <c r="J40" s="1412"/>
      <c r="K40" s="1412"/>
      <c r="L40" s="1412"/>
      <c r="M40" s="1412"/>
      <c r="N40" s="1412"/>
      <c r="O40" s="1412"/>
      <c r="P40" s="1412"/>
      <c r="Q40" s="1412"/>
      <c r="R40" s="1412"/>
      <c r="S40" s="1412"/>
    </row>
    <row r="41" spans="1:19">
      <c r="A41" s="1412"/>
      <c r="B41" s="1412"/>
      <c r="C41" s="1412"/>
      <c r="D41" s="1412"/>
      <c r="E41" s="1412"/>
      <c r="F41" s="1412"/>
      <c r="G41" s="1412"/>
      <c r="H41" s="1412"/>
      <c r="I41" s="1412"/>
      <c r="J41" s="1412"/>
      <c r="K41" s="1412"/>
      <c r="L41" s="1412"/>
      <c r="M41" s="1412"/>
      <c r="N41" s="1412"/>
      <c r="O41" s="1412"/>
      <c r="P41" s="1412"/>
      <c r="Q41" s="1412"/>
      <c r="R41" s="1412"/>
      <c r="S41" s="1412"/>
    </row>
    <row r="42" spans="1:19" ht="9.9499999999999993" customHeight="1">
      <c r="A42" s="1412"/>
      <c r="B42" s="1412"/>
      <c r="C42" s="1412"/>
      <c r="D42" s="1412"/>
      <c r="E42" s="1412"/>
      <c r="F42" s="1412"/>
      <c r="G42" s="1412"/>
      <c r="H42" s="1412"/>
      <c r="I42" s="1412"/>
      <c r="J42" s="1412"/>
      <c r="K42" s="1412"/>
      <c r="L42" s="1412"/>
      <c r="M42" s="1412"/>
      <c r="N42" s="1412"/>
      <c r="O42" s="1412"/>
      <c r="P42" s="1412"/>
      <c r="Q42" s="1412"/>
      <c r="R42" s="1412"/>
      <c r="S42" s="1412"/>
    </row>
    <row r="43" spans="1:19">
      <c r="A43" s="1412"/>
      <c r="B43" s="1412"/>
      <c r="C43" s="1412"/>
      <c r="D43" s="1412"/>
      <c r="E43" s="1412"/>
      <c r="F43" s="1412"/>
      <c r="G43" s="1412"/>
      <c r="H43" s="1412"/>
      <c r="I43" s="1412"/>
      <c r="J43" s="1412"/>
      <c r="K43" s="1412"/>
      <c r="L43" s="1412"/>
      <c r="M43" s="1412"/>
      <c r="N43" s="1412"/>
      <c r="O43" s="1412"/>
      <c r="P43" s="1412"/>
      <c r="Q43" s="1412"/>
      <c r="R43" s="1412"/>
      <c r="S43" s="1412"/>
    </row>
    <row r="44" spans="1:19">
      <c r="A44" s="1412"/>
      <c r="B44" s="1412"/>
      <c r="C44" s="1412"/>
      <c r="D44" s="1412"/>
      <c r="E44" s="1412"/>
      <c r="F44" s="1412"/>
      <c r="G44" s="1412"/>
      <c r="H44" s="1412"/>
      <c r="I44" s="1412"/>
      <c r="J44" s="1412"/>
      <c r="K44" s="1412"/>
      <c r="L44" s="1412"/>
      <c r="M44" s="1412"/>
      <c r="N44" s="1412"/>
      <c r="O44" s="1412"/>
      <c r="P44" s="1412"/>
      <c r="Q44" s="1412"/>
      <c r="R44" s="1412"/>
      <c r="S44" s="1412"/>
    </row>
    <row r="45" spans="1:19">
      <c r="A45" s="1412"/>
      <c r="B45" s="1412"/>
      <c r="C45" s="1412"/>
      <c r="D45" s="1412"/>
      <c r="E45" s="1412"/>
      <c r="F45" s="1412"/>
      <c r="G45" s="1412"/>
      <c r="H45" s="1412"/>
      <c r="I45" s="1412"/>
      <c r="J45" s="1412"/>
      <c r="K45" s="1412"/>
      <c r="L45" s="1412"/>
      <c r="M45" s="1412"/>
      <c r="N45" s="1412"/>
      <c r="O45" s="1412"/>
      <c r="P45" s="1412"/>
      <c r="Q45" s="1412"/>
      <c r="R45" s="1412"/>
      <c r="S45" s="1412"/>
    </row>
    <row r="46" spans="1:19">
      <c r="A46" s="1412"/>
      <c r="B46" s="1412"/>
      <c r="C46" s="1412"/>
      <c r="D46" s="1412"/>
      <c r="E46" s="1412"/>
      <c r="F46" s="1412"/>
      <c r="G46" s="1412"/>
      <c r="H46" s="1412"/>
      <c r="I46" s="1412"/>
      <c r="J46" s="1412"/>
      <c r="K46" s="1412"/>
      <c r="L46" s="1412"/>
      <c r="M46" s="1412"/>
      <c r="N46" s="1412"/>
      <c r="O46" s="1412"/>
      <c r="P46" s="1412"/>
      <c r="Q46" s="1412"/>
      <c r="R46" s="1412"/>
      <c r="S46" s="1412"/>
    </row>
    <row r="47" spans="1:19">
      <c r="A47" s="1412"/>
      <c r="B47" s="1412"/>
      <c r="C47" s="1412"/>
      <c r="D47" s="1412"/>
      <c r="E47" s="1412"/>
      <c r="F47" s="1412"/>
      <c r="G47" s="1412"/>
      <c r="H47" s="1412"/>
      <c r="I47" s="1412"/>
      <c r="J47" s="1412"/>
      <c r="K47" s="1412"/>
      <c r="L47" s="1412"/>
      <c r="M47" s="1412"/>
      <c r="N47" s="1412"/>
      <c r="O47" s="1412"/>
      <c r="P47" s="1412"/>
      <c r="Q47" s="1412"/>
      <c r="R47" s="1412"/>
      <c r="S47" s="1412"/>
    </row>
    <row r="48" spans="1:19">
      <c r="A48" s="1412"/>
      <c r="B48" s="1412"/>
      <c r="C48" s="1412"/>
      <c r="D48" s="1412"/>
      <c r="E48" s="1412"/>
      <c r="F48" s="1412"/>
      <c r="G48" s="1412"/>
      <c r="H48" s="1412"/>
      <c r="I48" s="1412"/>
      <c r="J48" s="1412"/>
      <c r="K48" s="1412"/>
      <c r="L48" s="1412"/>
      <c r="M48" s="1412"/>
      <c r="N48" s="1412"/>
      <c r="O48" s="1412"/>
      <c r="P48" s="1412"/>
      <c r="Q48" s="1412"/>
      <c r="R48" s="1412"/>
      <c r="S48" s="1412"/>
    </row>
    <row r="49" spans="1:19">
      <c r="A49" s="1412"/>
      <c r="B49" s="1412"/>
      <c r="C49" s="1412"/>
      <c r="D49" s="1412"/>
      <c r="E49" s="1412"/>
      <c r="F49" s="1412"/>
      <c r="G49" s="1412"/>
      <c r="H49" s="1412"/>
      <c r="I49" s="1412"/>
      <c r="J49" s="1412"/>
      <c r="K49" s="1412"/>
      <c r="L49" s="1412"/>
      <c r="M49" s="1412"/>
      <c r="N49" s="1412"/>
      <c r="O49" s="1412"/>
      <c r="P49" s="1412"/>
      <c r="Q49" s="1412"/>
      <c r="R49" s="1412"/>
      <c r="S49" s="1412"/>
    </row>
    <row r="50" spans="1:19">
      <c r="A50" s="1412"/>
      <c r="B50" s="1412"/>
      <c r="C50" s="1412"/>
      <c r="D50" s="1412"/>
      <c r="E50" s="1412"/>
      <c r="F50" s="1412"/>
      <c r="G50" s="1412"/>
      <c r="H50" s="1412"/>
      <c r="I50" s="1412"/>
      <c r="J50" s="1412"/>
      <c r="K50" s="1412"/>
      <c r="L50" s="1412"/>
      <c r="M50" s="1412"/>
      <c r="N50" s="1412"/>
      <c r="O50" s="1412"/>
      <c r="P50" s="1412"/>
      <c r="Q50" s="1412"/>
      <c r="R50" s="1412"/>
      <c r="S50" s="1412"/>
    </row>
    <row r="51" spans="1:19">
      <c r="A51" s="1412"/>
      <c r="B51" s="1412"/>
      <c r="C51" s="1412"/>
      <c r="D51" s="1412"/>
      <c r="E51" s="1412"/>
      <c r="F51" s="1412"/>
      <c r="G51" s="1412"/>
      <c r="H51" s="1412"/>
      <c r="I51" s="1412"/>
      <c r="J51" s="1412"/>
      <c r="K51" s="1412"/>
      <c r="L51" s="1412"/>
      <c r="M51" s="1412"/>
      <c r="N51" s="1412"/>
      <c r="O51" s="1412"/>
      <c r="P51" s="1412"/>
      <c r="Q51" s="1412"/>
      <c r="R51" s="1412"/>
      <c r="S51" s="1412"/>
    </row>
    <row r="52" spans="1:19">
      <c r="A52" s="1412"/>
      <c r="B52" s="1412"/>
      <c r="C52" s="1412"/>
      <c r="D52" s="1412"/>
      <c r="E52" s="1412"/>
      <c r="F52" s="1412"/>
      <c r="G52" s="1412"/>
      <c r="H52" s="1412"/>
      <c r="I52" s="1412"/>
      <c r="J52" s="1412"/>
      <c r="K52" s="1412"/>
      <c r="L52" s="1412"/>
      <c r="M52" s="1412"/>
      <c r="N52" s="1412"/>
      <c r="O52" s="1412"/>
      <c r="P52" s="1412"/>
      <c r="Q52" s="1412"/>
      <c r="R52" s="1412"/>
      <c r="S52" s="1412"/>
    </row>
    <row r="53" spans="1:19">
      <c r="A53" s="1412"/>
      <c r="B53" s="1412"/>
      <c r="C53" s="1412"/>
      <c r="D53" s="1412"/>
      <c r="E53" s="1412"/>
      <c r="F53" s="1412"/>
      <c r="G53" s="1412"/>
      <c r="H53" s="1412"/>
      <c r="I53" s="1412"/>
      <c r="J53" s="1412"/>
      <c r="K53" s="1412"/>
      <c r="L53" s="1412"/>
      <c r="M53" s="1412"/>
      <c r="N53" s="1412"/>
      <c r="O53" s="1412"/>
      <c r="P53" s="1412"/>
      <c r="Q53" s="1412"/>
      <c r="R53" s="1412"/>
      <c r="S53" s="1412"/>
    </row>
    <row r="54" spans="1:19">
      <c r="A54" s="1412"/>
      <c r="B54" s="1412"/>
      <c r="C54" s="1412"/>
      <c r="D54" s="1412"/>
      <c r="E54" s="1412"/>
      <c r="F54" s="1412"/>
      <c r="G54" s="1412"/>
      <c r="H54" s="1412"/>
      <c r="I54" s="1412"/>
      <c r="J54" s="1412"/>
      <c r="K54" s="1412"/>
      <c r="L54" s="1412"/>
      <c r="M54" s="1412"/>
      <c r="N54" s="1412"/>
      <c r="O54" s="1412"/>
      <c r="P54" s="1412"/>
      <c r="Q54" s="1412"/>
      <c r="R54" s="1412"/>
      <c r="S54" s="1412"/>
    </row>
    <row r="55" spans="1:19">
      <c r="A55" s="1412"/>
      <c r="B55" s="1412"/>
      <c r="C55" s="1412"/>
      <c r="D55" s="1412"/>
      <c r="E55" s="1412"/>
      <c r="F55" s="1412"/>
      <c r="G55" s="1412"/>
      <c r="H55" s="1412"/>
      <c r="I55" s="1412"/>
      <c r="J55" s="1412"/>
      <c r="K55" s="1412"/>
      <c r="L55" s="1412"/>
      <c r="M55" s="1412"/>
      <c r="N55" s="1412"/>
      <c r="O55" s="1412"/>
      <c r="P55" s="1412"/>
      <c r="Q55" s="1412"/>
      <c r="R55" s="1412"/>
      <c r="S55" s="1412"/>
    </row>
    <row r="56" spans="1:19">
      <c r="A56" s="1412"/>
      <c r="B56" s="1412"/>
      <c r="C56" s="1412"/>
      <c r="D56" s="1412"/>
      <c r="E56" s="1412"/>
      <c r="F56" s="1412"/>
      <c r="G56" s="1412"/>
      <c r="H56" s="1412"/>
      <c r="I56" s="1412"/>
      <c r="J56" s="1412"/>
      <c r="K56" s="1412"/>
      <c r="L56" s="1412"/>
      <c r="M56" s="1412"/>
      <c r="N56" s="1412"/>
      <c r="O56" s="1412"/>
      <c r="P56" s="1412"/>
      <c r="Q56" s="1412"/>
      <c r="R56" s="1412"/>
      <c r="S56" s="1412"/>
    </row>
    <row r="57" spans="1:19">
      <c r="A57" s="1412"/>
      <c r="B57" s="1412"/>
      <c r="C57" s="1412"/>
      <c r="D57" s="1412"/>
      <c r="E57" s="1412"/>
      <c r="F57" s="1412"/>
      <c r="G57" s="1412"/>
      <c r="H57" s="1412"/>
      <c r="I57" s="1412"/>
      <c r="J57" s="1412"/>
      <c r="K57" s="1412"/>
      <c r="L57" s="1412"/>
      <c r="M57" s="1412"/>
      <c r="N57" s="1412"/>
      <c r="O57" s="1412"/>
      <c r="P57" s="1412"/>
      <c r="Q57" s="1412"/>
      <c r="R57" s="1412"/>
      <c r="S57" s="1412"/>
    </row>
    <row r="58" spans="1:19">
      <c r="A58" s="1412"/>
      <c r="B58" s="1412"/>
      <c r="C58" s="1412"/>
      <c r="D58" s="1412"/>
      <c r="E58" s="1412"/>
      <c r="F58" s="1412"/>
      <c r="G58" s="1412"/>
      <c r="H58" s="1412"/>
      <c r="I58" s="1412"/>
      <c r="J58" s="1412"/>
      <c r="K58" s="1412"/>
      <c r="L58" s="1412"/>
      <c r="M58" s="1412"/>
      <c r="N58" s="1412"/>
      <c r="O58" s="1412"/>
      <c r="P58" s="1412"/>
      <c r="Q58" s="1412"/>
      <c r="R58" s="1412"/>
      <c r="S58" s="1412"/>
    </row>
    <row r="59" spans="1:19">
      <c r="A59" s="1412"/>
      <c r="B59" s="1412"/>
      <c r="C59" s="1412"/>
      <c r="D59" s="1412"/>
      <c r="E59" s="1412"/>
      <c r="F59" s="1412"/>
      <c r="G59" s="1412"/>
      <c r="H59" s="1412"/>
      <c r="I59" s="1412"/>
      <c r="J59" s="1412"/>
      <c r="K59" s="1412"/>
      <c r="L59" s="1412"/>
      <c r="M59" s="1412"/>
      <c r="N59" s="1412"/>
      <c r="O59" s="1412"/>
      <c r="P59" s="1412"/>
      <c r="Q59" s="1412"/>
      <c r="R59" s="1412"/>
      <c r="S59" s="1412"/>
    </row>
    <row r="60" spans="1:19">
      <c r="A60" s="1412"/>
      <c r="B60" s="1412"/>
      <c r="C60" s="1412"/>
      <c r="D60" s="1412"/>
      <c r="E60" s="1412"/>
      <c r="F60" s="1412"/>
      <c r="G60" s="1412"/>
      <c r="H60" s="1412"/>
      <c r="I60" s="1412"/>
      <c r="J60" s="1412"/>
      <c r="K60" s="1412"/>
      <c r="L60" s="1412"/>
      <c r="M60" s="1412"/>
      <c r="N60" s="1412"/>
      <c r="O60" s="1412"/>
      <c r="P60" s="1412"/>
      <c r="Q60" s="1412"/>
      <c r="R60" s="1412"/>
      <c r="S60" s="1412"/>
    </row>
    <row r="61" spans="1:19">
      <c r="A61" s="1412"/>
      <c r="B61" s="1412"/>
      <c r="C61" s="1412"/>
      <c r="D61" s="1412"/>
      <c r="E61" s="1412"/>
      <c r="F61" s="1412"/>
      <c r="G61" s="1412"/>
      <c r="H61" s="1412"/>
      <c r="I61" s="1412"/>
      <c r="J61" s="1412"/>
      <c r="K61" s="1412"/>
      <c r="L61" s="1412"/>
      <c r="M61" s="1412"/>
      <c r="N61" s="1412"/>
      <c r="O61" s="1412"/>
      <c r="P61" s="1412"/>
      <c r="Q61" s="1412"/>
      <c r="R61" s="1412"/>
      <c r="S61" s="1412"/>
    </row>
    <row r="62" spans="1:19">
      <c r="A62" s="1412"/>
      <c r="B62" s="1412"/>
      <c r="C62" s="1412"/>
      <c r="D62" s="1412"/>
      <c r="E62" s="1412"/>
      <c r="F62" s="1412"/>
      <c r="G62" s="1412"/>
      <c r="H62" s="1412"/>
      <c r="I62" s="1412"/>
      <c r="J62" s="1412"/>
      <c r="K62" s="1412"/>
      <c r="L62" s="1412"/>
      <c r="M62" s="1412"/>
      <c r="N62" s="1412"/>
      <c r="O62" s="1412"/>
      <c r="P62" s="1412"/>
      <c r="Q62" s="1412"/>
      <c r="R62" s="1412"/>
      <c r="S62" s="1412"/>
    </row>
  </sheetData>
  <mergeCells count="7">
    <mergeCell ref="B37:F38"/>
    <mergeCell ref="A7:L7"/>
    <mergeCell ref="R9:R10"/>
    <mergeCell ref="A26:I28"/>
    <mergeCell ref="B30:K30"/>
    <mergeCell ref="B31:H32"/>
    <mergeCell ref="B34:I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Q69"/>
  <sheetViews>
    <sheetView workbookViewId="0">
      <selection activeCell="E12" sqref="E12"/>
    </sheetView>
  </sheetViews>
  <sheetFormatPr defaultColWidth="11.85546875" defaultRowHeight="12.75"/>
  <cols>
    <col min="1" max="1" width="9" style="1438" customWidth="1"/>
    <col min="2" max="2" width="15" style="1439" bestFit="1" customWidth="1"/>
    <col min="3" max="3" width="4.140625" style="1439" customWidth="1"/>
    <col min="4" max="4" width="21" style="1440" bestFit="1" customWidth="1"/>
    <col min="5" max="5" width="29.7109375" style="1439" bestFit="1" customWidth="1"/>
    <col min="6" max="6" width="21.42578125" style="1439" customWidth="1"/>
    <col min="7" max="7" width="4.28515625" style="1439" customWidth="1"/>
    <col min="8" max="8" width="19" style="1439" customWidth="1"/>
    <col min="9" max="9" width="5" style="1439" customWidth="1"/>
    <col min="10" max="10" width="19.85546875" style="1439" customWidth="1"/>
    <col min="11" max="11" width="3.5703125" style="1439" customWidth="1"/>
    <col min="12" max="12" width="19.7109375" style="1439" customWidth="1"/>
    <col min="13" max="13" width="16" style="1439" customWidth="1"/>
    <col min="14" max="14" width="19.140625" style="1439" bestFit="1" customWidth="1"/>
    <col min="15" max="15" width="16.5703125" style="1442" bestFit="1" customWidth="1"/>
    <col min="16" max="16" width="15.28515625" style="1439" bestFit="1" customWidth="1"/>
    <col min="17" max="16384" width="11.85546875" style="1439"/>
  </cols>
  <sheetData>
    <row r="1" spans="1:17" ht="15">
      <c r="A1" s="1438" t="s">
        <v>1013</v>
      </c>
      <c r="L1" s="1441"/>
      <c r="N1" s="1396"/>
    </row>
    <row r="2" spans="1:17">
      <c r="A2" s="1438" t="s">
        <v>1063</v>
      </c>
      <c r="L2" s="1443"/>
      <c r="N2" s="1322"/>
    </row>
    <row r="3" spans="1:17">
      <c r="A3" s="1438" t="s">
        <v>1002</v>
      </c>
      <c r="N3" s="1322"/>
    </row>
    <row r="4" spans="1:17">
      <c r="A4" s="1438" t="s">
        <v>1064</v>
      </c>
      <c r="N4" s="1396"/>
    </row>
    <row r="5" spans="1:17">
      <c r="A5" s="1438" t="s">
        <v>1004</v>
      </c>
    </row>
    <row r="6" spans="1:17">
      <c r="A6" s="1438" t="s">
        <v>889</v>
      </c>
    </row>
    <row r="7" spans="1:17">
      <c r="A7" s="1537" t="s">
        <v>1065</v>
      </c>
      <c r="B7" s="1537"/>
      <c r="C7" s="1537"/>
      <c r="D7" s="1537"/>
      <c r="E7" s="1537"/>
      <c r="F7" s="1537"/>
      <c r="G7" s="1537"/>
      <c r="H7" s="1537"/>
      <c r="I7" s="1537"/>
      <c r="J7" s="1537"/>
      <c r="K7" s="1537"/>
      <c r="L7" s="1537"/>
      <c r="M7" s="1537"/>
      <c r="N7" s="1537"/>
    </row>
    <row r="9" spans="1:17">
      <c r="A9" s="1444" t="s">
        <v>440</v>
      </c>
      <c r="B9" s="1445" t="s">
        <v>441</v>
      </c>
      <c r="C9" s="1445"/>
      <c r="D9" s="1446" t="s">
        <v>442</v>
      </c>
      <c r="E9" s="1445" t="s">
        <v>443</v>
      </c>
      <c r="F9" s="1445" t="s">
        <v>444</v>
      </c>
      <c r="G9" s="1445"/>
      <c r="H9" s="1445" t="s">
        <v>1021</v>
      </c>
      <c r="I9" s="1445"/>
      <c r="J9" s="1445" t="s">
        <v>446</v>
      </c>
      <c r="K9" s="1445"/>
      <c r="L9" s="1445" t="s">
        <v>1066</v>
      </c>
      <c r="M9" s="1445" t="s">
        <v>448</v>
      </c>
      <c r="N9" s="1445" t="s">
        <v>1023</v>
      </c>
      <c r="Q9" s="1538"/>
    </row>
    <row r="10" spans="1:17">
      <c r="F10" s="1447"/>
      <c r="G10" s="1447"/>
      <c r="H10" s="1447"/>
      <c r="Q10" s="1538"/>
    </row>
    <row r="11" spans="1:17" ht="38.25">
      <c r="A11" s="1438" t="s">
        <v>1024</v>
      </c>
      <c r="B11" s="1439" t="s">
        <v>1025</v>
      </c>
      <c r="D11" s="1448" t="s">
        <v>1067</v>
      </c>
      <c r="E11" s="1445" t="s">
        <v>903</v>
      </c>
      <c r="F11" s="1449" t="s">
        <v>1027</v>
      </c>
      <c r="G11" s="1449"/>
      <c r="H11" s="1449" t="s">
        <v>1028</v>
      </c>
      <c r="I11" s="1450"/>
      <c r="J11" s="1449" t="s">
        <v>1068</v>
      </c>
      <c r="L11" s="1449" t="s">
        <v>1030</v>
      </c>
      <c r="M11" s="1449" t="s">
        <v>1031</v>
      </c>
      <c r="N11" s="1449" t="s">
        <v>1069</v>
      </c>
    </row>
    <row r="12" spans="1:17" ht="15">
      <c r="D12" s="1448"/>
      <c r="E12" s="1445"/>
      <c r="F12" s="1449"/>
      <c r="G12" s="1449"/>
      <c r="H12" s="1449"/>
      <c r="I12" s="1450"/>
      <c r="J12" s="1449"/>
      <c r="L12" s="1449"/>
      <c r="N12" s="1447"/>
    </row>
    <row r="13" spans="1:17" ht="15">
      <c r="A13" s="1451" t="s">
        <v>1070</v>
      </c>
      <c r="D13" s="1448"/>
      <c r="E13" s="1445"/>
      <c r="F13" s="1449"/>
      <c r="G13" s="1449"/>
      <c r="H13" s="1449"/>
      <c r="I13" s="1450"/>
      <c r="J13" s="1449"/>
      <c r="L13" s="1449"/>
      <c r="N13" s="1447"/>
    </row>
    <row r="14" spans="1:17">
      <c r="D14" s="1452"/>
      <c r="E14" s="1442"/>
      <c r="F14" s="1453"/>
      <c r="G14" s="1453"/>
      <c r="H14" s="1453"/>
      <c r="I14" s="1453"/>
      <c r="J14" s="1453"/>
      <c r="K14" s="1453"/>
      <c r="L14" s="1453"/>
      <c r="M14" s="1442"/>
      <c r="N14" s="1442"/>
    </row>
    <row r="15" spans="1:17" ht="12.6" customHeight="1">
      <c r="A15" s="1454">
        <v>1</v>
      </c>
      <c r="B15" s="1455" t="s">
        <v>1071</v>
      </c>
      <c r="D15" s="1440">
        <v>-736161054</v>
      </c>
      <c r="E15" s="1442" t="s">
        <v>1072</v>
      </c>
      <c r="N15" s="1442"/>
    </row>
    <row r="16" spans="1:17" ht="15">
      <c r="A16" s="1454">
        <f>+A15+1</f>
        <v>2</v>
      </c>
      <c r="B16" s="1455"/>
      <c r="D16" s="1456">
        <v>0.99180100000000004</v>
      </c>
      <c r="E16" s="1442" t="s">
        <v>1073</v>
      </c>
      <c r="F16" s="1450"/>
      <c r="G16" s="1450"/>
      <c r="H16" s="1457"/>
      <c r="I16" s="1450"/>
      <c r="J16" s="1450"/>
      <c r="K16" s="1450"/>
      <c r="L16" s="1450"/>
      <c r="M16" s="1442"/>
      <c r="N16" s="1442"/>
    </row>
    <row r="17" spans="1:16" ht="15">
      <c r="A17" s="1454">
        <f>+A16+1</f>
        <v>3</v>
      </c>
      <c r="B17" s="1455"/>
      <c r="D17" s="1458">
        <v>6.5000000000000002E-2</v>
      </c>
      <c r="E17" s="1442" t="s">
        <v>1074</v>
      </c>
      <c r="F17" s="1450"/>
      <c r="G17" s="1450"/>
      <c r="H17" s="1457"/>
      <c r="I17" s="1450"/>
      <c r="J17" s="1450"/>
      <c r="K17" s="1450"/>
      <c r="L17" s="1450"/>
      <c r="M17" s="1442"/>
      <c r="N17" s="1442"/>
    </row>
    <row r="18" spans="1:16" ht="15">
      <c r="A18" s="1454">
        <f t="shared" ref="A18:A29" si="0">+A17+1</f>
        <v>4</v>
      </c>
      <c r="B18" s="1455"/>
      <c r="D18" s="1459">
        <f>+D15*D16*D17</f>
        <v>-47458142.518686511</v>
      </c>
      <c r="E18" s="1439" t="s">
        <v>1075</v>
      </c>
      <c r="F18" s="1450"/>
      <c r="G18" s="1450"/>
      <c r="H18" s="1457"/>
      <c r="I18" s="1450"/>
      <c r="J18" s="1450"/>
      <c r="K18" s="1450"/>
      <c r="L18" s="1450"/>
      <c r="M18" s="1442"/>
      <c r="N18" s="1442"/>
    </row>
    <row r="19" spans="1:16" ht="15">
      <c r="A19" s="1454">
        <f t="shared" si="0"/>
        <v>5</v>
      </c>
      <c r="B19" s="1455"/>
      <c r="D19" s="1459"/>
      <c r="F19" s="1450"/>
      <c r="G19" s="1450"/>
      <c r="H19" s="1457"/>
      <c r="I19" s="1450"/>
      <c r="J19" s="1450"/>
      <c r="K19" s="1450"/>
      <c r="L19" s="1450"/>
      <c r="M19" s="1442"/>
      <c r="N19" s="1442"/>
    </row>
    <row r="20" spans="1:16" ht="15">
      <c r="A20" s="1454">
        <f t="shared" si="0"/>
        <v>6</v>
      </c>
      <c r="B20" s="1455"/>
      <c r="D20" s="1459">
        <f>+D15</f>
        <v>-736161054</v>
      </c>
      <c r="E20" s="1442" t="str">
        <f>+E15</f>
        <v>Total Fed Cumulative ADIT</v>
      </c>
      <c r="F20" s="1450"/>
      <c r="G20" s="1450"/>
      <c r="H20" s="1457"/>
      <c r="I20" s="1450"/>
      <c r="J20" s="1450"/>
      <c r="K20" s="1450"/>
      <c r="L20" s="1450"/>
      <c r="M20" s="1442"/>
      <c r="N20" s="1442"/>
    </row>
    <row r="21" spans="1:16" ht="15">
      <c r="A21" s="1454">
        <f t="shared" si="0"/>
        <v>7</v>
      </c>
      <c r="B21" s="1455"/>
      <c r="D21" s="1456">
        <v>0.99276478816191005</v>
      </c>
      <c r="E21" s="1442" t="s">
        <v>1076</v>
      </c>
      <c r="F21" s="1450"/>
      <c r="G21" s="1450"/>
      <c r="H21" s="1457"/>
      <c r="I21" s="1450"/>
      <c r="J21" s="1450"/>
      <c r="K21" s="1450"/>
      <c r="L21" s="1450"/>
      <c r="M21" s="1442"/>
      <c r="N21" s="1442"/>
    </row>
    <row r="22" spans="1:16" ht="15">
      <c r="A22" s="1454">
        <f t="shared" si="0"/>
        <v>8</v>
      </c>
      <c r="B22" s="1455"/>
      <c r="D22" s="1458">
        <v>6.5000000000000002E-2</v>
      </c>
      <c r="E22" s="1442" t="s">
        <v>1074</v>
      </c>
      <c r="F22" s="1450"/>
      <c r="G22" s="1450"/>
      <c r="H22" s="1457"/>
      <c r="I22" s="1450"/>
      <c r="J22" s="1450"/>
      <c r="K22" s="1450"/>
      <c r="L22" s="1450"/>
      <c r="M22" s="1442"/>
      <c r="N22" s="1442"/>
    </row>
    <row r="23" spans="1:16" ht="15">
      <c r="A23" s="1454">
        <f t="shared" si="0"/>
        <v>9</v>
      </c>
      <c r="B23" s="1455"/>
      <c r="D23" s="1459">
        <f>+D20*D21*D22</f>
        <v>-47504260.233778305</v>
      </c>
      <c r="E23" s="1439" t="s">
        <v>1077</v>
      </c>
      <c r="F23" s="1450"/>
      <c r="G23" s="1450"/>
      <c r="H23" s="1457"/>
      <c r="I23" s="1450"/>
      <c r="J23" s="1450"/>
      <c r="K23" s="1450"/>
      <c r="L23" s="1450"/>
      <c r="M23" s="1442"/>
      <c r="N23" s="1442"/>
    </row>
    <row r="24" spans="1:16">
      <c r="A24" s="1454">
        <f t="shared" si="0"/>
        <v>10</v>
      </c>
      <c r="B24" s="1455"/>
      <c r="D24" s="1460"/>
      <c r="F24" s="1453"/>
      <c r="G24" s="1453"/>
      <c r="H24" s="1461"/>
      <c r="I24" s="1462"/>
      <c r="J24" s="1453"/>
      <c r="K24" s="1453"/>
      <c r="L24" s="1453"/>
      <c r="M24" s="1442"/>
      <c r="N24" s="1442">
        <f>+D24-L24</f>
        <v>0</v>
      </c>
    </row>
    <row r="25" spans="1:16">
      <c r="A25" s="1454">
        <f t="shared" si="0"/>
        <v>11</v>
      </c>
      <c r="B25" s="1455"/>
      <c r="D25" s="1459">
        <f>+D18-D23</f>
        <v>46117.715091794729</v>
      </c>
      <c r="E25" s="1439" t="s">
        <v>1078</v>
      </c>
      <c r="F25" s="1463">
        <f>+D25</f>
        <v>46117.715091794729</v>
      </c>
      <c r="G25" s="1464"/>
      <c r="H25" s="1465">
        <f>+F25/D23</f>
        <v>-9.7081219378724985E-4</v>
      </c>
      <c r="I25" s="1462"/>
      <c r="J25" s="1453"/>
      <c r="K25" s="1453"/>
      <c r="L25" s="1453">
        <f>+F25+J25</f>
        <v>46117.715091794729</v>
      </c>
      <c r="M25" s="1442"/>
      <c r="N25" s="1442">
        <f>+D18</f>
        <v>-47458142.518686511</v>
      </c>
    </row>
    <row r="26" spans="1:16">
      <c r="A26" s="1454">
        <f t="shared" si="0"/>
        <v>12</v>
      </c>
      <c r="B26" s="1455"/>
      <c r="D26" s="1460"/>
      <c r="E26" s="1439" t="s">
        <v>1079</v>
      </c>
      <c r="F26" s="1453">
        <f>+F25*-0.21</f>
        <v>-9684.7201692768922</v>
      </c>
      <c r="G26" s="1453"/>
      <c r="H26" s="1461"/>
      <c r="I26" s="1466"/>
      <c r="J26" s="1453">
        <v>0</v>
      </c>
      <c r="K26" s="1453"/>
      <c r="L26" s="1453">
        <f>+F26+J26</f>
        <v>-9684.7201692768922</v>
      </c>
      <c r="M26" s="1442"/>
      <c r="N26" s="1442">
        <v>0</v>
      </c>
    </row>
    <row r="27" spans="1:16">
      <c r="A27" s="1454">
        <f>+A26+1</f>
        <v>13</v>
      </c>
      <c r="B27" s="1455"/>
      <c r="D27" s="1452"/>
      <c r="F27" s="1453"/>
      <c r="G27" s="1453"/>
      <c r="H27" s="1461"/>
      <c r="I27" s="1467"/>
      <c r="J27" s="1453"/>
      <c r="K27" s="1453"/>
      <c r="L27" s="1453"/>
      <c r="M27" s="1442"/>
      <c r="N27" s="1442"/>
    </row>
    <row r="28" spans="1:16">
      <c r="A28" s="1454">
        <f t="shared" si="0"/>
        <v>14</v>
      </c>
      <c r="E28" s="1442"/>
      <c r="F28" s="1453"/>
      <c r="G28" s="1453"/>
      <c r="H28" s="1468"/>
      <c r="I28" s="1469"/>
      <c r="J28" s="1453"/>
      <c r="K28" s="1453"/>
      <c r="L28" s="1453"/>
      <c r="M28" s="1442"/>
      <c r="N28" s="1442"/>
    </row>
    <row r="29" spans="1:16">
      <c r="A29" s="1454">
        <f t="shared" si="0"/>
        <v>15</v>
      </c>
      <c r="B29" s="1439" t="s">
        <v>412</v>
      </c>
      <c r="D29" s="1470">
        <f>+D23</f>
        <v>-47504260.233778305</v>
      </c>
      <c r="E29" s="1442" t="s">
        <v>1080</v>
      </c>
      <c r="F29" s="1471">
        <f>SUM(F16:F27)</f>
        <v>36432.994922517835</v>
      </c>
      <c r="G29" s="1472"/>
      <c r="H29" s="1473"/>
      <c r="J29" s="1471">
        <f>SUM(J16:J27)</f>
        <v>0</v>
      </c>
      <c r="K29" s="1453"/>
      <c r="L29" s="1471">
        <f>SUM(L16:L27)</f>
        <v>36432.994922517835</v>
      </c>
      <c r="M29" s="1442"/>
      <c r="N29" s="1471">
        <f>SUM(N16:N27)</f>
        <v>-47458142.518686511</v>
      </c>
    </row>
    <row r="30" spans="1:16">
      <c r="A30" s="1454"/>
      <c r="D30" s="1452"/>
      <c r="E30" s="1474"/>
      <c r="F30" s="1464"/>
      <c r="G30" s="1464"/>
      <c r="H30" s="1461"/>
      <c r="I30" s="1453"/>
      <c r="J30" s="1453"/>
      <c r="K30" s="1453"/>
      <c r="L30" s="1453"/>
      <c r="M30" s="1442"/>
      <c r="N30" s="1442"/>
    </row>
    <row r="31" spans="1:16">
      <c r="A31" s="1454"/>
      <c r="D31" s="1475"/>
      <c r="E31" s="1442"/>
      <c r="F31" s="1472"/>
      <c r="G31" s="1472"/>
      <c r="H31" s="1476"/>
      <c r="J31" s="1472"/>
      <c r="K31" s="1453"/>
      <c r="L31" s="1472"/>
      <c r="N31" s="1442"/>
      <c r="O31" s="1439"/>
      <c r="P31" s="1442"/>
    </row>
    <row r="32" spans="1:16">
      <c r="A32" s="1539" t="s">
        <v>1081</v>
      </c>
      <c r="B32" s="1539"/>
      <c r="C32" s="1539"/>
      <c r="D32" s="1539"/>
      <c r="E32" s="1539"/>
      <c r="F32" s="1539"/>
      <c r="G32" s="1539"/>
      <c r="H32" s="1539"/>
      <c r="N32" s="1442"/>
      <c r="O32" s="1439"/>
      <c r="P32" s="1442"/>
    </row>
    <row r="33" spans="1:16">
      <c r="A33" s="1539"/>
      <c r="B33" s="1539"/>
      <c r="C33" s="1539"/>
      <c r="D33" s="1539"/>
      <c r="E33" s="1539"/>
      <c r="F33" s="1539"/>
      <c r="G33" s="1539"/>
      <c r="H33" s="1539"/>
      <c r="N33" s="1442"/>
      <c r="O33" s="1439"/>
      <c r="P33" s="1442"/>
    </row>
    <row r="34" spans="1:16">
      <c r="A34" s="1539"/>
      <c r="B34" s="1539"/>
      <c r="C34" s="1539"/>
      <c r="D34" s="1539"/>
      <c r="E34" s="1539"/>
      <c r="F34" s="1539"/>
      <c r="G34" s="1539"/>
      <c r="H34" s="1539"/>
      <c r="N34" s="1442"/>
      <c r="O34" s="1439"/>
      <c r="P34" s="1442"/>
    </row>
    <row r="35" spans="1:16">
      <c r="A35" s="1539"/>
      <c r="B35" s="1539"/>
      <c r="C35" s="1539"/>
      <c r="D35" s="1539"/>
      <c r="E35" s="1539"/>
      <c r="F35" s="1539"/>
      <c r="G35" s="1539"/>
      <c r="H35" s="1539"/>
      <c r="N35" s="1442"/>
      <c r="O35" s="1439"/>
      <c r="P35" s="1442"/>
    </row>
    <row r="36" spans="1:16">
      <c r="A36" s="1454"/>
      <c r="N36" s="1442"/>
      <c r="O36" s="1439"/>
      <c r="P36" s="1442"/>
    </row>
    <row r="37" spans="1:16">
      <c r="A37" s="1438" t="s">
        <v>1082</v>
      </c>
      <c r="B37" s="1539" t="s">
        <v>1083</v>
      </c>
      <c r="C37" s="1539"/>
      <c r="D37" s="1539"/>
      <c r="E37" s="1539"/>
      <c r="F37" s="1539"/>
      <c r="G37" s="1539"/>
      <c r="H37" s="1539"/>
      <c r="N37" s="1442"/>
      <c r="O37" s="1439"/>
      <c r="P37" s="1442"/>
    </row>
    <row r="38" spans="1:16">
      <c r="B38" s="1539"/>
      <c r="C38" s="1539"/>
      <c r="D38" s="1539"/>
      <c r="E38" s="1539"/>
      <c r="F38" s="1539"/>
      <c r="G38" s="1539"/>
      <c r="H38" s="1539"/>
      <c r="N38" s="1442"/>
      <c r="O38" s="1439"/>
      <c r="P38" s="1442"/>
    </row>
    <row r="39" spans="1:16">
      <c r="B39" s="1539"/>
      <c r="C39" s="1539"/>
      <c r="D39" s="1539"/>
      <c r="E39" s="1539"/>
      <c r="F39" s="1539"/>
      <c r="G39" s="1539"/>
      <c r="H39" s="1539"/>
      <c r="N39" s="1442"/>
      <c r="O39" s="1439"/>
      <c r="P39" s="1442"/>
    </row>
    <row r="40" spans="1:16" ht="15">
      <c r="A40" s="1439"/>
      <c r="I40" s="1450"/>
      <c r="J40" s="1442"/>
      <c r="K40" s="1442"/>
      <c r="L40" s="1442"/>
      <c r="M40" s="1442"/>
      <c r="N40" s="1442"/>
    </row>
    <row r="41" spans="1:16" ht="15.6" customHeight="1">
      <c r="A41" s="1438" t="s">
        <v>1045</v>
      </c>
      <c r="B41" s="1539" t="s">
        <v>1084</v>
      </c>
      <c r="C41" s="1539"/>
      <c r="D41" s="1539"/>
      <c r="E41" s="1539"/>
      <c r="F41" s="1539"/>
      <c r="G41" s="1539"/>
      <c r="H41" s="1539"/>
      <c r="J41" s="1442"/>
      <c r="K41" s="1442"/>
      <c r="L41" s="1442"/>
      <c r="M41" s="1442"/>
      <c r="N41" s="1442"/>
    </row>
    <row r="42" spans="1:16" ht="12.6" customHeight="1">
      <c r="B42" s="1539"/>
      <c r="C42" s="1539"/>
      <c r="D42" s="1539"/>
      <c r="E42" s="1539"/>
      <c r="F42" s="1539"/>
      <c r="G42" s="1539"/>
      <c r="H42" s="1539"/>
      <c r="J42" s="1442"/>
      <c r="K42" s="1442"/>
      <c r="L42" s="1442"/>
      <c r="M42" s="1442"/>
      <c r="N42" s="1442"/>
    </row>
    <row r="43" spans="1:16" ht="12.6" customHeight="1">
      <c r="A43" s="1439"/>
      <c r="J43" s="1442"/>
      <c r="K43" s="1442"/>
      <c r="L43" s="1442"/>
      <c r="M43" s="1442"/>
      <c r="N43" s="1442"/>
    </row>
    <row r="44" spans="1:16" ht="12.6" customHeight="1">
      <c r="A44" s="1438" t="s">
        <v>1047</v>
      </c>
      <c r="B44" s="1540" t="s">
        <v>1085</v>
      </c>
      <c r="C44" s="1540"/>
      <c r="D44" s="1540"/>
      <c r="E44" s="1540"/>
      <c r="F44" s="1540"/>
      <c r="G44" s="1540"/>
      <c r="H44" s="1540"/>
      <c r="I44" s="1540"/>
      <c r="J44" s="1442"/>
      <c r="K44" s="1442"/>
      <c r="L44" s="1442"/>
      <c r="M44" s="1442"/>
      <c r="N44" s="1442"/>
    </row>
    <row r="45" spans="1:16" ht="15">
      <c r="A45" s="1477"/>
      <c r="B45" s="1540"/>
      <c r="C45" s="1540"/>
      <c r="D45" s="1540"/>
      <c r="E45" s="1540"/>
      <c r="F45" s="1540"/>
      <c r="G45" s="1540"/>
      <c r="H45" s="1540"/>
      <c r="I45" s="1540"/>
      <c r="J45" s="1442"/>
      <c r="K45" s="1442"/>
      <c r="L45" s="1442"/>
      <c r="M45" s="1442"/>
      <c r="N45" s="1442"/>
    </row>
    <row r="46" spans="1:16" ht="12.6" customHeight="1">
      <c r="A46" s="1439"/>
      <c r="J46" s="1442"/>
      <c r="K46" s="1442"/>
      <c r="L46" s="1442"/>
      <c r="M46" s="1442"/>
      <c r="N46" s="1442"/>
    </row>
    <row r="47" spans="1:16">
      <c r="A47" s="1439" t="s">
        <v>1086</v>
      </c>
      <c r="B47" s="1536" t="s">
        <v>1087</v>
      </c>
      <c r="C47" s="1536"/>
      <c r="D47" s="1536"/>
      <c r="E47" s="1536"/>
      <c r="F47" s="1536"/>
      <c r="J47" s="1442"/>
      <c r="K47" s="1442"/>
      <c r="L47" s="1442"/>
      <c r="M47" s="1442"/>
      <c r="N47" s="1442"/>
    </row>
    <row r="48" spans="1:16">
      <c r="B48" s="1536"/>
      <c r="C48" s="1536"/>
      <c r="D48" s="1536"/>
      <c r="E48" s="1536"/>
      <c r="F48" s="1536"/>
      <c r="J48" s="1442"/>
      <c r="K48" s="1442"/>
      <c r="L48" s="1442"/>
      <c r="M48" s="1442"/>
      <c r="N48" s="1442"/>
    </row>
    <row r="49" spans="1:16">
      <c r="A49" s="1439"/>
      <c r="J49" s="1442"/>
      <c r="K49" s="1442"/>
      <c r="L49" s="1442"/>
      <c r="M49" s="1442"/>
      <c r="N49" s="1442"/>
    </row>
    <row r="50" spans="1:16">
      <c r="A50" s="1439"/>
      <c r="J50" s="1442"/>
      <c r="K50" s="1442"/>
      <c r="L50" s="1442"/>
      <c r="M50" s="1442"/>
      <c r="N50" s="1442"/>
    </row>
    <row r="51" spans="1:16">
      <c r="E51" s="1478"/>
      <c r="I51" s="1442"/>
      <c r="J51" s="1442"/>
      <c r="K51" s="1442"/>
      <c r="L51" s="1442"/>
    </row>
    <row r="52" spans="1:16">
      <c r="G52" s="1479"/>
      <c r="H52" s="1479"/>
      <c r="I52" s="1442"/>
      <c r="J52" s="1442"/>
      <c r="K52" s="1442"/>
      <c r="L52" s="1442"/>
    </row>
    <row r="53" spans="1:16">
      <c r="G53" s="1479"/>
      <c r="H53" s="1479"/>
      <c r="I53" s="1442"/>
    </row>
    <row r="54" spans="1:16" ht="9.9499999999999993" customHeight="1"/>
    <row r="57" spans="1:16" ht="15">
      <c r="A57" s="1477"/>
      <c r="B57" s="1450"/>
      <c r="C57" s="1450"/>
      <c r="D57" s="1480"/>
      <c r="E57" s="1450"/>
      <c r="F57" s="1450"/>
      <c r="G57" s="1450"/>
      <c r="H57" s="1450"/>
      <c r="I57" s="1450"/>
      <c r="J57" s="1450"/>
      <c r="K57" s="1450"/>
      <c r="L57" s="1450"/>
      <c r="M57" s="1450"/>
      <c r="N57" s="1450"/>
      <c r="O57" s="1450"/>
    </row>
    <row r="58" spans="1:16" ht="15">
      <c r="A58" s="1477"/>
      <c r="B58" s="1450"/>
      <c r="C58" s="1450"/>
      <c r="D58" s="1480"/>
      <c r="E58" s="1450"/>
      <c r="F58" s="1450"/>
      <c r="G58" s="1450"/>
      <c r="H58" s="1450"/>
      <c r="I58" s="1450"/>
      <c r="J58" s="1450"/>
      <c r="K58" s="1450"/>
      <c r="L58" s="1450"/>
      <c r="M58" s="1450"/>
      <c r="N58" s="1450"/>
      <c r="O58" s="1450"/>
    </row>
    <row r="59" spans="1:16" ht="15">
      <c r="A59" s="1477"/>
      <c r="B59" s="1450"/>
      <c r="C59" s="1450"/>
      <c r="D59" s="1480"/>
      <c r="E59" s="1450"/>
      <c r="F59" s="1450"/>
      <c r="G59" s="1450"/>
      <c r="H59" s="1450"/>
      <c r="I59" s="1450"/>
      <c r="J59" s="1450"/>
      <c r="K59" s="1450"/>
      <c r="L59" s="1450"/>
      <c r="M59" s="1450"/>
      <c r="N59" s="1450"/>
      <c r="O59" s="1450"/>
    </row>
    <row r="60" spans="1:16" ht="15">
      <c r="A60" s="1477"/>
      <c r="B60" s="1450"/>
      <c r="C60" s="1450"/>
      <c r="D60" s="1480"/>
      <c r="E60" s="1450"/>
      <c r="F60" s="1450"/>
      <c r="G60" s="1450"/>
      <c r="H60" s="1450"/>
      <c r="I60" s="1450"/>
      <c r="J60" s="1450"/>
      <c r="K60" s="1450"/>
      <c r="L60" s="1450"/>
      <c r="M60" s="1450"/>
      <c r="N60" s="1450"/>
      <c r="O60" s="1450"/>
      <c r="P60" s="1442"/>
    </row>
    <row r="61" spans="1:16" ht="15">
      <c r="A61" s="1477"/>
      <c r="B61" s="1450"/>
      <c r="C61" s="1450"/>
      <c r="D61" s="1480"/>
      <c r="E61" s="1450"/>
      <c r="F61" s="1450"/>
      <c r="G61" s="1450"/>
      <c r="H61" s="1450"/>
      <c r="I61" s="1450"/>
      <c r="J61" s="1450"/>
      <c r="K61" s="1450"/>
      <c r="L61" s="1450"/>
      <c r="M61" s="1450"/>
      <c r="N61" s="1450"/>
      <c r="O61" s="1450"/>
      <c r="P61" s="1442"/>
    </row>
    <row r="62" spans="1:16" ht="15">
      <c r="A62" s="1477"/>
      <c r="B62" s="1450"/>
      <c r="C62" s="1450"/>
      <c r="D62" s="1480"/>
      <c r="E62" s="1450"/>
      <c r="F62" s="1450"/>
      <c r="G62" s="1450"/>
      <c r="H62" s="1450"/>
      <c r="I62" s="1450"/>
      <c r="J62" s="1450"/>
      <c r="K62" s="1450"/>
      <c r="L62" s="1450"/>
      <c r="M62" s="1450"/>
      <c r="N62" s="1450"/>
      <c r="O62" s="1450"/>
      <c r="P62" s="1442"/>
    </row>
    <row r="63" spans="1:16" ht="15">
      <c r="A63" s="1477"/>
      <c r="B63" s="1450"/>
      <c r="C63" s="1450"/>
      <c r="D63" s="1480"/>
      <c r="E63" s="1450"/>
      <c r="F63" s="1450"/>
      <c r="G63" s="1450"/>
      <c r="H63" s="1450"/>
      <c r="I63" s="1450"/>
      <c r="J63" s="1450"/>
      <c r="K63" s="1450"/>
      <c r="L63" s="1450"/>
      <c r="M63" s="1450"/>
      <c r="N63" s="1450"/>
      <c r="O63" s="1450"/>
      <c r="P63" s="1442"/>
    </row>
    <row r="64" spans="1:16" ht="15">
      <c r="A64" s="1477"/>
      <c r="B64" s="1450"/>
      <c r="C64" s="1450"/>
      <c r="D64" s="1480"/>
      <c r="E64" s="1450"/>
      <c r="F64" s="1450"/>
      <c r="G64" s="1450"/>
      <c r="H64" s="1450"/>
      <c r="I64" s="1450"/>
      <c r="J64" s="1450"/>
      <c r="K64" s="1450"/>
      <c r="L64" s="1450"/>
      <c r="M64" s="1450"/>
      <c r="N64" s="1450"/>
      <c r="O64" s="1450"/>
      <c r="P64" s="1442"/>
    </row>
    <row r="65" spans="1:16" ht="15">
      <c r="A65" s="1477"/>
      <c r="B65" s="1450"/>
      <c r="C65" s="1450"/>
      <c r="D65" s="1480"/>
      <c r="E65" s="1450"/>
      <c r="F65" s="1450"/>
      <c r="G65" s="1450"/>
      <c r="H65" s="1450"/>
      <c r="I65" s="1450"/>
      <c r="J65" s="1450"/>
      <c r="K65" s="1450"/>
      <c r="L65" s="1450"/>
      <c r="M65" s="1450"/>
      <c r="N65" s="1450"/>
      <c r="O65" s="1450"/>
      <c r="P65" s="1442"/>
    </row>
    <row r="66" spans="1:16" ht="15">
      <c r="A66" s="1477"/>
      <c r="B66" s="1450"/>
      <c r="C66" s="1450"/>
      <c r="D66" s="1480"/>
      <c r="E66" s="1450"/>
      <c r="F66" s="1450"/>
      <c r="G66" s="1450"/>
      <c r="H66" s="1450"/>
      <c r="I66" s="1450"/>
      <c r="J66" s="1450"/>
      <c r="K66" s="1450"/>
      <c r="L66" s="1450"/>
      <c r="M66" s="1450"/>
      <c r="N66" s="1450"/>
      <c r="O66" s="1450"/>
      <c r="P66" s="1442"/>
    </row>
    <row r="67" spans="1:16" ht="15">
      <c r="A67" s="1477"/>
      <c r="B67" s="1450"/>
      <c r="C67" s="1450"/>
      <c r="D67" s="1480"/>
      <c r="E67" s="1450"/>
      <c r="F67" s="1450"/>
      <c r="G67" s="1450"/>
      <c r="H67" s="1450"/>
      <c r="I67" s="1450"/>
      <c r="J67" s="1450"/>
      <c r="K67" s="1450"/>
      <c r="L67" s="1450"/>
      <c r="M67" s="1450"/>
      <c r="N67" s="1450"/>
      <c r="O67" s="1450"/>
      <c r="P67" s="1442"/>
    </row>
    <row r="68" spans="1:16" ht="15">
      <c r="A68" s="1477"/>
      <c r="B68" s="1450"/>
      <c r="C68" s="1450"/>
      <c r="D68" s="1480"/>
      <c r="E68" s="1450"/>
      <c r="F68" s="1450"/>
      <c r="G68" s="1450"/>
      <c r="H68" s="1450"/>
      <c r="I68" s="1450"/>
      <c r="J68" s="1450"/>
      <c r="K68" s="1450"/>
      <c r="L68" s="1450"/>
      <c r="M68" s="1450"/>
      <c r="N68" s="1450"/>
      <c r="O68" s="1450"/>
      <c r="P68" s="1442"/>
    </row>
    <row r="69" spans="1:16" ht="15">
      <c r="A69" s="1477"/>
      <c r="B69" s="1450"/>
      <c r="C69" s="1450"/>
      <c r="D69" s="1480"/>
      <c r="E69" s="1450"/>
      <c r="F69" s="1450"/>
      <c r="G69" s="1450"/>
      <c r="H69" s="1450"/>
      <c r="I69" s="1450"/>
      <c r="J69" s="1450"/>
      <c r="K69" s="1450"/>
      <c r="L69" s="1450"/>
      <c r="M69" s="1450"/>
      <c r="N69" s="1450"/>
      <c r="O69" s="1450"/>
    </row>
  </sheetData>
  <mergeCells count="7">
    <mergeCell ref="B47:F48"/>
    <mergeCell ref="A7:N7"/>
    <mergeCell ref="Q9:Q10"/>
    <mergeCell ref="A32:H35"/>
    <mergeCell ref="B37:H39"/>
    <mergeCell ref="B41:H42"/>
    <mergeCell ref="B44:I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105"/>
  <sheetViews>
    <sheetView view="pageBreakPreview" zoomScale="70" zoomScaleNormal="75" zoomScaleSheetLayoutView="70" workbookViewId="0">
      <selection activeCell="D39" sqref="D39:D41"/>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422"/>
      <c r="N3" s="422"/>
      <c r="O3" s="422"/>
    </row>
    <row r="4" spans="1:15" ht="15">
      <c r="A4" s="1543" t="str">
        <f>"Cost of Service Formula Rate Using Actual/Projected FF1 Balances"</f>
        <v>Cost of Service Formula Rate Using Actual/Projected FF1 Balances</v>
      </c>
      <c r="B4" s="1543"/>
      <c r="C4" s="1543"/>
      <c r="D4" s="1543"/>
      <c r="E4" s="1543"/>
      <c r="F4" s="1543"/>
      <c r="G4" s="1543"/>
      <c r="H4" s="1543"/>
      <c r="I4" s="1543"/>
      <c r="J4" s="1543"/>
      <c r="K4" s="1543"/>
      <c r="L4" s="1543"/>
      <c r="M4" s="442"/>
      <c r="N4" s="442"/>
      <c r="O4" s="442"/>
    </row>
    <row r="5" spans="1:15" ht="15">
      <c r="A5" s="1543" t="s">
        <v>283</v>
      </c>
      <c r="B5" s="1543"/>
      <c r="C5" s="1543"/>
      <c r="D5" s="1543"/>
      <c r="E5" s="1543"/>
      <c r="F5" s="1543"/>
      <c r="G5" s="1543"/>
      <c r="H5" s="1543"/>
      <c r="I5" s="1543"/>
      <c r="J5" s="1543"/>
      <c r="K5" s="1543"/>
      <c r="L5" s="1543"/>
      <c r="M5" s="424"/>
      <c r="N5" s="424"/>
      <c r="O5" s="424"/>
    </row>
    <row r="6" spans="1:15" ht="15">
      <c r="A6" s="1544" t="str">
        <f>TCOS!F9</f>
        <v>West Virginia Transmission Company</v>
      </c>
      <c r="B6" s="1544"/>
      <c r="C6" s="1544"/>
      <c r="D6" s="1544"/>
      <c r="E6" s="1544"/>
      <c r="F6" s="1544"/>
      <c r="G6" s="1544"/>
      <c r="H6" s="1544"/>
      <c r="I6" s="1544"/>
      <c r="J6" s="1544"/>
      <c r="K6" s="1544"/>
      <c r="L6" s="1544"/>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454</v>
      </c>
      <c r="C8" s="444" t="s">
        <v>455</v>
      </c>
      <c r="D8" s="445" t="s">
        <v>323</v>
      </c>
      <c r="E8" s="445" t="s">
        <v>457</v>
      </c>
      <c r="F8" s="444"/>
      <c r="G8" s="444" t="s">
        <v>377</v>
      </c>
      <c r="H8" s="444"/>
      <c r="I8" s="444" t="s">
        <v>378</v>
      </c>
      <c r="J8" s="444" t="s">
        <v>379</v>
      </c>
      <c r="K8" s="444" t="s">
        <v>384</v>
      </c>
      <c r="L8" s="444" t="s">
        <v>288</v>
      </c>
      <c r="M8" s="444"/>
      <c r="N8" s="444"/>
      <c r="O8" s="444"/>
    </row>
    <row r="9" spans="1:15">
      <c r="A9" s="439"/>
    </row>
    <row r="10" spans="1:15" ht="18">
      <c r="A10" s="430"/>
      <c r="B10" s="1542" t="s">
        <v>491</v>
      </c>
      <c r="C10" s="1542"/>
      <c r="D10" s="1542"/>
      <c r="E10" s="1542"/>
      <c r="F10" s="1542"/>
      <c r="G10" s="1542"/>
      <c r="H10" s="1542"/>
      <c r="I10" s="1542"/>
      <c r="J10" s="1542"/>
      <c r="K10" s="1542"/>
      <c r="O10" s="428"/>
    </row>
    <row r="11" spans="1:15">
      <c r="A11" s="430"/>
      <c r="I11" s="156"/>
      <c r="J11" s="156"/>
      <c r="O11" s="428"/>
    </row>
    <row r="12" spans="1:15" ht="12.75" customHeight="1">
      <c r="A12" s="426" t="s">
        <v>461</v>
      </c>
      <c r="B12" s="434"/>
      <c r="C12" s="446"/>
      <c r="D12" s="447"/>
      <c r="E12" s="1546" t="str">
        <f>"Balance @ December 31, "&amp;TCOS!L4&amp;""</f>
        <v>Balance @ December 31, 2022</v>
      </c>
      <c r="F12" s="447"/>
      <c r="G12" s="1546" t="str">
        <f>"Balance @ December 31, "&amp;TCOS!L4-1&amp;""</f>
        <v>Balance @ December 31, 2021</v>
      </c>
      <c r="H12" s="448"/>
      <c r="I12" s="1548" t="str">
        <f>"Average Balance for "&amp;TCOS!L4&amp;""</f>
        <v>Average Balance for 2022</v>
      </c>
      <c r="J12" s="427"/>
      <c r="K12" s="431"/>
      <c r="L12" s="449"/>
      <c r="M12" s="431"/>
      <c r="N12" s="431"/>
      <c r="O12" s="428"/>
    </row>
    <row r="13" spans="1:15">
      <c r="A13" s="426" t="s">
        <v>399</v>
      </c>
      <c r="B13" s="432"/>
      <c r="C13" s="434"/>
      <c r="D13" s="450" t="s">
        <v>490</v>
      </c>
      <c r="E13" s="1547"/>
      <c r="F13" s="451"/>
      <c r="G13" s="1547"/>
      <c r="H13" s="452"/>
      <c r="I13" s="1549"/>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316</v>
      </c>
      <c r="D17" s="433" t="s">
        <v>210</v>
      </c>
      <c r="E17" s="1314">
        <v>0</v>
      </c>
      <c r="F17" s="437"/>
      <c r="G17" s="1314">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317</v>
      </c>
      <c r="D19" s="433" t="s">
        <v>211</v>
      </c>
      <c r="E19" s="501"/>
      <c r="F19" s="437"/>
      <c r="G19" s="501"/>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769</v>
      </c>
      <c r="D21" s="433" t="s">
        <v>212</v>
      </c>
      <c r="E21" s="501"/>
      <c r="F21" s="437"/>
      <c r="G21" s="501"/>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542" t="s">
        <v>770</v>
      </c>
      <c r="C24" s="1542"/>
      <c r="D24" s="1542"/>
      <c r="E24" s="1542"/>
      <c r="F24" s="1542"/>
      <c r="G24" s="1542"/>
      <c r="H24" s="1542"/>
      <c r="I24" s="1542"/>
      <c r="J24" s="1542"/>
      <c r="K24" s="1542"/>
      <c r="L24" s="454"/>
      <c r="M24" s="429"/>
      <c r="N24" s="429"/>
    </row>
    <row r="25" spans="1:14" ht="12.75" customHeight="1">
      <c r="A25" s="432"/>
      <c r="B25" s="468"/>
      <c r="C25" s="434"/>
      <c r="D25" s="469"/>
      <c r="E25" s="470"/>
      <c r="F25" s="423"/>
      <c r="G25" s="470" t="s">
        <v>380</v>
      </c>
      <c r="I25" s="471" t="s">
        <v>409</v>
      </c>
      <c r="J25" s="471" t="s">
        <v>409</v>
      </c>
      <c r="K25" s="471" t="s">
        <v>471</v>
      </c>
      <c r="L25" s="454"/>
      <c r="M25" s="429"/>
      <c r="N25" s="429"/>
    </row>
    <row r="26" spans="1:14" ht="12.75" customHeight="1">
      <c r="A26" s="432"/>
      <c r="B26" s="468"/>
      <c r="C26" s="434"/>
      <c r="D26" s="472" t="s">
        <v>289</v>
      </c>
      <c r="E26" s="471" t="s">
        <v>319</v>
      </c>
      <c r="F26" s="423"/>
      <c r="G26" s="471" t="s">
        <v>409</v>
      </c>
      <c r="I26" s="471" t="s">
        <v>309</v>
      </c>
      <c r="J26" s="471" t="s">
        <v>453</v>
      </c>
      <c r="K26" s="471" t="s">
        <v>472</v>
      </c>
      <c r="L26" s="454"/>
      <c r="M26" s="429"/>
      <c r="N26" s="429"/>
    </row>
    <row r="27" spans="1:14" ht="12.75" customHeight="1">
      <c r="A27" s="432">
        <f>+A21+1</f>
        <v>5</v>
      </c>
      <c r="B27" s="468"/>
      <c r="C27" s="434"/>
      <c r="D27" s="473" t="s">
        <v>381</v>
      </c>
      <c r="E27" s="473" t="s">
        <v>290</v>
      </c>
      <c r="F27" s="423"/>
      <c r="G27" s="473" t="s">
        <v>310</v>
      </c>
      <c r="I27" s="473" t="s">
        <v>310</v>
      </c>
      <c r="J27" s="473" t="s">
        <v>310</v>
      </c>
      <c r="K27" s="473" t="s">
        <v>311</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2022</v>
      </c>
      <c r="D29" s="475">
        <f>ROUND(D55,0)</f>
        <v>389998</v>
      </c>
      <c r="E29" s="476">
        <f>ROUND(E55,0)</f>
        <v>0</v>
      </c>
      <c r="F29" s="477"/>
      <c r="G29" s="475">
        <f>ROUND(G55,0)</f>
        <v>0</v>
      </c>
      <c r="H29" s="436"/>
      <c r="I29" s="475">
        <f>ROUND(I55,0)</f>
        <v>389998</v>
      </c>
      <c r="J29" s="478">
        <f>+J55</f>
        <v>0</v>
      </c>
      <c r="K29" s="475">
        <f>ROUND(K55,0)</f>
        <v>389998</v>
      </c>
      <c r="L29" s="454"/>
      <c r="M29" s="429"/>
      <c r="N29" s="429"/>
    </row>
    <row r="30" spans="1:14">
      <c r="A30" s="432">
        <f>+A29+1</f>
        <v>7</v>
      </c>
      <c r="B30" s="432"/>
      <c r="C30" s="423" t="str">
        <f>"Totals as of December 31, "&amp;(TCOS!L4-1)&amp;""</f>
        <v>Totals as of December 31, 2021</v>
      </c>
      <c r="D30" s="479">
        <f>ROUND(D79,0)</f>
        <v>315396</v>
      </c>
      <c r="E30" s="480">
        <f>ROUND(E79,0)</f>
        <v>0</v>
      </c>
      <c r="F30" s="437"/>
      <c r="G30" s="479">
        <f>ROUND(G79,0)</f>
        <v>0</v>
      </c>
      <c r="H30" s="436"/>
      <c r="I30" s="479">
        <f>ROUND(I79,0)</f>
        <v>315396</v>
      </c>
      <c r="J30" s="479">
        <f>+J79</f>
        <v>0</v>
      </c>
      <c r="K30" s="479">
        <f>ROUND(K79,0)</f>
        <v>315396</v>
      </c>
      <c r="L30" s="454"/>
      <c r="M30" s="429"/>
      <c r="N30" s="429"/>
    </row>
    <row r="31" spans="1:14" ht="13.5" thickBot="1">
      <c r="A31" s="432">
        <f>+A30+1</f>
        <v>8</v>
      </c>
      <c r="B31" s="432"/>
      <c r="C31" s="481" t="s">
        <v>497</v>
      </c>
      <c r="D31" s="482">
        <f>IF(D30="",0,(D29+D30)/2)</f>
        <v>352697</v>
      </c>
      <c r="E31" s="482">
        <f>IF(E30="",0,(E29+E30)/2)</f>
        <v>0</v>
      </c>
      <c r="F31" s="483"/>
      <c r="G31" s="482">
        <f>IF(G30="",0,(G29+G30)/2)</f>
        <v>0</v>
      </c>
      <c r="H31" s="484"/>
      <c r="I31" s="482">
        <f>IF(I30="",0,(I29+I30)/2)</f>
        <v>352697</v>
      </c>
      <c r="J31" s="482">
        <f>IF(J30="",0,(J29+J30)/2)</f>
        <v>0</v>
      </c>
      <c r="K31" s="482">
        <f>IF(K30="",0,(K29+K30)/2)</f>
        <v>352697</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545" t="str">
        <f>"Prepayments Account 165 - Balance @ 12/31/"&amp;D36&amp;""</f>
        <v>Prepayments Account 165 - Balance @ 12/31/2022</v>
      </c>
      <c r="C34" s="1550"/>
      <c r="D34" s="1550"/>
      <c r="E34" s="1550"/>
      <c r="F34" s="1550"/>
      <c r="G34" s="1550"/>
      <c r="H34" s="1550"/>
      <c r="I34" s="1550"/>
      <c r="J34" s="1550"/>
      <c r="K34" s="453"/>
      <c r="L34" s="454"/>
      <c r="M34" s="429"/>
      <c r="N34" s="429"/>
    </row>
    <row r="35" spans="1:14">
      <c r="A35" s="432"/>
      <c r="B35" s="485"/>
      <c r="C35" s="486"/>
      <c r="D35" s="469"/>
      <c r="E35" s="470"/>
      <c r="F35" s="423"/>
      <c r="G35" s="470" t="s">
        <v>380</v>
      </c>
      <c r="I35" s="471" t="s">
        <v>409</v>
      </c>
      <c r="J35" s="471" t="s">
        <v>409</v>
      </c>
      <c r="K35" s="471" t="s">
        <v>471</v>
      </c>
      <c r="L35" s="173"/>
      <c r="M35" s="429"/>
      <c r="N35" s="429"/>
    </row>
    <row r="36" spans="1:14">
      <c r="A36" s="432"/>
      <c r="B36" s="485"/>
      <c r="C36" s="487"/>
      <c r="D36" s="472" t="str">
        <f>""&amp;TCOS!L4</f>
        <v>2022</v>
      </c>
      <c r="E36" s="471" t="s">
        <v>319</v>
      </c>
      <c r="F36" s="423"/>
      <c r="G36" s="471" t="s">
        <v>409</v>
      </c>
      <c r="I36" s="471" t="s">
        <v>309</v>
      </c>
      <c r="J36" s="471" t="s">
        <v>453</v>
      </c>
      <c r="K36" s="471" t="s">
        <v>472</v>
      </c>
      <c r="L36" s="173"/>
      <c r="M36" s="429"/>
      <c r="N36" s="429"/>
    </row>
    <row r="37" spans="1:14">
      <c r="A37" s="432">
        <f>+A31+1</f>
        <v>9</v>
      </c>
      <c r="B37" s="473" t="s">
        <v>383</v>
      </c>
      <c r="C37" s="473" t="s">
        <v>459</v>
      </c>
      <c r="D37" s="473" t="s">
        <v>381</v>
      </c>
      <c r="E37" s="473" t="s">
        <v>290</v>
      </c>
      <c r="F37" s="423"/>
      <c r="G37" s="473" t="s">
        <v>310</v>
      </c>
      <c r="I37" s="473" t="s">
        <v>310</v>
      </c>
      <c r="J37" s="473" t="s">
        <v>310</v>
      </c>
      <c r="K37" s="473" t="s">
        <v>311</v>
      </c>
      <c r="L37" s="473" t="s">
        <v>365</v>
      </c>
      <c r="M37" s="429"/>
      <c r="N37" s="429"/>
    </row>
    <row r="38" spans="1:14">
      <c r="A38" s="432"/>
      <c r="B38" s="485"/>
      <c r="C38" s="486"/>
      <c r="D38" s="486"/>
      <c r="E38" s="486"/>
      <c r="F38" s="423"/>
      <c r="G38" s="486"/>
      <c r="I38" s="486"/>
      <c r="J38" s="486"/>
      <c r="K38" s="474"/>
      <c r="L38" s="173"/>
      <c r="M38" s="429"/>
      <c r="N38" s="429"/>
    </row>
    <row r="39" spans="1:14" ht="14.25">
      <c r="A39" s="432">
        <f>+A37+1</f>
        <v>10</v>
      </c>
      <c r="B39" s="1308">
        <v>1650001</v>
      </c>
      <c r="C39" s="975" t="s">
        <v>804</v>
      </c>
      <c r="D39" s="1000">
        <v>186558.74</v>
      </c>
      <c r="E39" s="488">
        <f>+D39-K39</f>
        <v>0</v>
      </c>
      <c r="F39" s="423"/>
      <c r="G39" s="489"/>
      <c r="I39" s="489">
        <f>+D39</f>
        <v>186558.74</v>
      </c>
      <c r="J39" s="489"/>
      <c r="K39" s="489">
        <f>+G39+I39+J39</f>
        <v>186558.74</v>
      </c>
      <c r="L39" s="173" t="s">
        <v>824</v>
      </c>
      <c r="M39" s="429"/>
      <c r="N39" s="429"/>
    </row>
    <row r="40" spans="1:14" ht="14.25">
      <c r="A40" s="432">
        <f>+A39+1</f>
        <v>11</v>
      </c>
      <c r="B40" s="1309">
        <v>1650021</v>
      </c>
      <c r="C40" s="975" t="s">
        <v>805</v>
      </c>
      <c r="D40" s="1000">
        <v>144825.07</v>
      </c>
      <c r="E40" s="488">
        <f>+D40-K40</f>
        <v>0</v>
      </c>
      <c r="F40" s="423"/>
      <c r="G40" s="489"/>
      <c r="I40" s="489">
        <f>+D40</f>
        <v>144825.07</v>
      </c>
      <c r="J40" s="491"/>
      <c r="K40" s="490">
        <f>+G40+I40+J40</f>
        <v>144825.07</v>
      </c>
      <c r="L40" s="173" t="s">
        <v>824</v>
      </c>
      <c r="M40" s="429"/>
      <c r="N40" s="429"/>
    </row>
    <row r="41" spans="1:14" ht="14.25">
      <c r="A41" s="432">
        <f t="shared" ref="A41:A54" si="0">+A40+1</f>
        <v>12</v>
      </c>
      <c r="B41" s="1309">
        <v>1650023</v>
      </c>
      <c r="C41" s="975" t="s">
        <v>806</v>
      </c>
      <c r="D41" s="1000">
        <v>58614.58</v>
      </c>
      <c r="E41" s="488">
        <f>+D41-K41</f>
        <v>0</v>
      </c>
      <c r="F41" s="423"/>
      <c r="G41" s="489"/>
      <c r="I41" s="489">
        <f>D41</f>
        <v>58614.58</v>
      </c>
      <c r="J41" s="491"/>
      <c r="K41" s="490">
        <f>+G41+I41+J41</f>
        <v>58614.58</v>
      </c>
      <c r="L41" s="173" t="s">
        <v>806</v>
      </c>
      <c r="M41" s="429"/>
      <c r="N41" s="429"/>
    </row>
    <row r="42" spans="1:14" ht="14.25">
      <c r="A42" s="432">
        <f t="shared" si="0"/>
        <v>13</v>
      </c>
      <c r="B42" s="1309"/>
      <c r="C42" s="975"/>
      <c r="D42" s="1000"/>
      <c r="E42" s="488"/>
      <c r="F42" s="423"/>
      <c r="G42" s="489"/>
      <c r="I42" s="489"/>
      <c r="J42" s="491"/>
      <c r="K42" s="490"/>
      <c r="L42" s="393"/>
      <c r="M42" s="429"/>
      <c r="N42" s="429"/>
    </row>
    <row r="43" spans="1:14" ht="14.25">
      <c r="A43" s="432">
        <f t="shared" si="0"/>
        <v>14</v>
      </c>
      <c r="B43" s="1308"/>
      <c r="C43" s="975"/>
      <c r="D43" s="1000"/>
      <c r="E43" s="488"/>
      <c r="F43" s="423"/>
      <c r="G43" s="489"/>
      <c r="I43" s="489"/>
      <c r="J43" s="489"/>
      <c r="K43" s="489"/>
      <c r="L43" s="393"/>
      <c r="M43" s="429"/>
      <c r="N43" s="429"/>
    </row>
    <row r="44" spans="1:14" ht="14.25">
      <c r="A44" s="432">
        <f t="shared" si="0"/>
        <v>15</v>
      </c>
      <c r="B44" s="1308"/>
      <c r="C44" s="975"/>
      <c r="D44" s="1000"/>
      <c r="E44" s="488"/>
      <c r="F44" s="423"/>
      <c r="G44" s="489"/>
      <c r="I44" s="489"/>
      <c r="J44" s="489"/>
      <c r="K44" s="489"/>
      <c r="L44" s="393"/>
      <c r="M44" s="429"/>
      <c r="N44" s="429"/>
    </row>
    <row r="45" spans="1:14" ht="14.25">
      <c r="A45" s="432">
        <f t="shared" si="0"/>
        <v>16</v>
      </c>
      <c r="B45" s="1308"/>
      <c r="C45" s="975"/>
      <c r="D45" s="1000"/>
      <c r="E45" s="488"/>
      <c r="F45" s="423"/>
      <c r="G45" s="490"/>
      <c r="I45" s="489"/>
      <c r="J45" s="490"/>
      <c r="K45" s="490"/>
      <c r="L45" s="393"/>
      <c r="M45" s="429"/>
      <c r="N45" s="429"/>
    </row>
    <row r="46" spans="1:14" ht="14.25">
      <c r="A46" s="432">
        <f t="shared" si="0"/>
        <v>17</v>
      </c>
      <c r="B46" s="1308"/>
      <c r="C46" s="975"/>
      <c r="D46" s="1000"/>
      <c r="E46" s="488"/>
      <c r="F46" s="423"/>
      <c r="G46" s="489"/>
      <c r="I46" s="489"/>
      <c r="J46" s="489"/>
      <c r="K46" s="490"/>
      <c r="L46" s="348"/>
      <c r="M46" s="429"/>
      <c r="N46" s="429"/>
    </row>
    <row r="47" spans="1:14" ht="14.25">
      <c r="A47" s="432">
        <f t="shared" si="0"/>
        <v>18</v>
      </c>
      <c r="B47" s="1308"/>
      <c r="C47" s="975"/>
      <c r="D47" s="1000"/>
      <c r="E47" s="488"/>
      <c r="F47" s="423"/>
      <c r="G47" s="489"/>
      <c r="I47" s="489"/>
      <c r="J47" s="489"/>
      <c r="K47" s="490"/>
      <c r="L47" s="393"/>
      <c r="M47" s="429"/>
      <c r="N47" s="429"/>
    </row>
    <row r="48" spans="1:14" ht="14.25">
      <c r="A48" s="432">
        <f t="shared" si="0"/>
        <v>19</v>
      </c>
      <c r="B48" s="1308"/>
      <c r="C48" s="975"/>
      <c r="D48" s="1000"/>
      <c r="E48" s="488"/>
      <c r="F48" s="423"/>
      <c r="G48" s="489"/>
      <c r="I48" s="489"/>
      <c r="J48" s="489"/>
      <c r="K48" s="490"/>
      <c r="L48" s="393"/>
      <c r="M48" s="429"/>
      <c r="N48" s="429"/>
    </row>
    <row r="49" spans="1:15" ht="14.25">
      <c r="A49" s="432">
        <f t="shared" si="0"/>
        <v>20</v>
      </c>
      <c r="B49" s="1309"/>
      <c r="C49" s="975"/>
      <c r="D49" s="1000"/>
      <c r="E49" s="488"/>
      <c r="F49" s="423"/>
      <c r="G49" s="489"/>
      <c r="I49" s="489"/>
      <c r="J49" s="491"/>
      <c r="K49" s="490"/>
      <c r="L49" s="173"/>
      <c r="M49" s="429"/>
      <c r="N49" s="429"/>
    </row>
    <row r="50" spans="1:15" ht="14.25">
      <c r="A50" s="432">
        <f t="shared" si="0"/>
        <v>21</v>
      </c>
      <c r="B50" s="1309"/>
      <c r="C50" s="975"/>
      <c r="D50" s="1000"/>
      <c r="E50" s="488"/>
      <c r="F50" s="423"/>
      <c r="G50" s="489"/>
      <c r="I50" s="489"/>
      <c r="J50" s="491"/>
      <c r="K50" s="490"/>
      <c r="L50" s="173"/>
      <c r="M50" s="429"/>
      <c r="N50" s="429"/>
    </row>
    <row r="51" spans="1:15" ht="14.25">
      <c r="A51" s="432">
        <f t="shared" si="0"/>
        <v>22</v>
      </c>
      <c r="B51" s="1309"/>
      <c r="C51" s="975"/>
      <c r="D51" s="1000"/>
      <c r="E51" s="488"/>
      <c r="F51" s="423"/>
      <c r="G51" s="489"/>
      <c r="I51" s="489"/>
      <c r="J51" s="491"/>
      <c r="K51" s="490"/>
      <c r="L51" s="393"/>
      <c r="M51" s="429"/>
      <c r="N51" s="429"/>
    </row>
    <row r="52" spans="1:15" ht="14.25">
      <c r="A52" s="432">
        <f t="shared" si="0"/>
        <v>23</v>
      </c>
      <c r="B52" s="1309"/>
      <c r="C52" s="975"/>
      <c r="D52" s="1000"/>
      <c r="E52" s="488"/>
      <c r="F52" s="423"/>
      <c r="G52" s="489"/>
      <c r="I52" s="489"/>
      <c r="J52" s="491"/>
      <c r="K52" s="490"/>
      <c r="L52" s="393"/>
      <c r="M52" s="429"/>
      <c r="N52" s="429"/>
    </row>
    <row r="53" spans="1:15" ht="14.25">
      <c r="A53" s="432">
        <f t="shared" si="0"/>
        <v>24</v>
      </c>
      <c r="B53" s="1309"/>
      <c r="C53" s="975"/>
      <c r="D53" s="1000"/>
      <c r="E53" s="488"/>
      <c r="F53" s="423"/>
      <c r="G53" s="489"/>
      <c r="I53" s="489"/>
      <c r="J53" s="491"/>
      <c r="K53" s="490"/>
      <c r="L53" s="393"/>
      <c r="M53" s="429"/>
      <c r="N53" s="429"/>
    </row>
    <row r="54" spans="1:15" ht="15" thickBot="1">
      <c r="A54" s="432">
        <f t="shared" si="0"/>
        <v>25</v>
      </c>
      <c r="B54" s="1309"/>
      <c r="C54" s="975"/>
      <c r="D54" s="1000"/>
      <c r="E54" s="488"/>
      <c r="F54" s="423"/>
      <c r="G54" s="489"/>
      <c r="I54" s="489"/>
      <c r="J54" s="489"/>
      <c r="K54" s="490"/>
      <c r="L54" s="393"/>
      <c r="M54" s="429"/>
      <c r="N54" s="429"/>
    </row>
    <row r="55" spans="1:15">
      <c r="A55" s="432"/>
      <c r="B55" s="485"/>
      <c r="C55" s="492" t="s">
        <v>291</v>
      </c>
      <c r="D55" s="493">
        <f>SUM(D39:D54)</f>
        <v>389998.39</v>
      </c>
      <c r="E55" s="494">
        <f>SUM(E39:E54)</f>
        <v>0</v>
      </c>
      <c r="F55" s="423"/>
      <c r="G55" s="493">
        <f>SUM(G39:G54)</f>
        <v>0</v>
      </c>
      <c r="I55" s="493">
        <f>SUM(I39:I54)</f>
        <v>389998.39</v>
      </c>
      <c r="J55" s="493">
        <f>SUM(J39:J54)</f>
        <v>0</v>
      </c>
      <c r="K55" s="493">
        <f>SUM(K39:K54)</f>
        <v>389998.39</v>
      </c>
      <c r="L55" s="173"/>
      <c r="M55" s="429"/>
      <c r="N55" s="429"/>
    </row>
    <row r="56" spans="1:15">
      <c r="A56" s="432"/>
      <c r="D56" s="495" t="s">
        <v>408</v>
      </c>
      <c r="K56" s="496"/>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545" t="str">
        <f>"Prepayments Account 165 - Balance @ 12/31/ "&amp;D60&amp;""</f>
        <v>Prepayments Account 165 - Balance @ 12/31/ 2021</v>
      </c>
      <c r="C58" s="1545"/>
      <c r="D58" s="1545"/>
      <c r="E58" s="1545"/>
      <c r="F58" s="1545"/>
      <c r="G58" s="1545"/>
      <c r="H58" s="1545"/>
      <c r="I58" s="1545"/>
      <c r="J58" s="1545"/>
      <c r="K58" s="453"/>
      <c r="L58" s="454"/>
      <c r="M58" s="429"/>
      <c r="N58" s="429"/>
      <c r="O58" s="173"/>
    </row>
    <row r="59" spans="1:15">
      <c r="A59" s="432"/>
      <c r="B59" s="497"/>
      <c r="C59" s="498"/>
      <c r="D59" s="499"/>
      <c r="E59" s="470"/>
      <c r="F59" s="423"/>
      <c r="G59" s="470" t="s">
        <v>380</v>
      </c>
      <c r="I59" s="471" t="s">
        <v>409</v>
      </c>
      <c r="J59" s="471" t="s">
        <v>409</v>
      </c>
      <c r="K59" s="471" t="s">
        <v>471</v>
      </c>
      <c r="L59" s="173"/>
      <c r="M59" s="429"/>
      <c r="N59" s="429"/>
      <c r="O59" s="173"/>
    </row>
    <row r="60" spans="1:15">
      <c r="A60" s="432"/>
      <c r="B60" s="497"/>
      <c r="C60" s="500"/>
      <c r="D60" s="471" t="str">
        <f>""&amp;TCOS!L4-1&amp;""</f>
        <v>2021</v>
      </c>
      <c r="E60" s="471" t="s">
        <v>319</v>
      </c>
      <c r="F60" s="423"/>
      <c r="G60" s="471" t="s">
        <v>409</v>
      </c>
      <c r="I60" s="471" t="s">
        <v>309</v>
      </c>
      <c r="J60" s="471" t="s">
        <v>453</v>
      </c>
      <c r="K60" s="471" t="s">
        <v>472</v>
      </c>
      <c r="L60" s="173"/>
      <c r="M60" s="429"/>
      <c r="N60" s="429"/>
      <c r="O60" s="173"/>
    </row>
    <row r="61" spans="1:15">
      <c r="A61" s="432">
        <f>A54+1</f>
        <v>26</v>
      </c>
      <c r="B61" s="473" t="s">
        <v>383</v>
      </c>
      <c r="C61" s="473" t="s">
        <v>459</v>
      </c>
      <c r="D61" s="473" t="s">
        <v>381</v>
      </c>
      <c r="E61" s="473" t="s">
        <v>290</v>
      </c>
      <c r="F61" s="423"/>
      <c r="G61" s="473" t="s">
        <v>310</v>
      </c>
      <c r="I61" s="473" t="s">
        <v>310</v>
      </c>
      <c r="J61" s="473" t="s">
        <v>310</v>
      </c>
      <c r="K61" s="473" t="s">
        <v>311</v>
      </c>
      <c r="L61" s="473" t="s">
        <v>365</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08">
        <v>1650001</v>
      </c>
      <c r="C63" s="975" t="s">
        <v>804</v>
      </c>
      <c r="D63" s="1000">
        <v>155071.04000000001</v>
      </c>
      <c r="E63" s="488">
        <f>+D63-K63</f>
        <v>0</v>
      </c>
      <c r="F63" s="423"/>
      <c r="G63" s="489"/>
      <c r="I63" s="489">
        <f>+D63</f>
        <v>155071.04000000001</v>
      </c>
      <c r="J63" s="489"/>
      <c r="K63" s="489">
        <f>+G63+I63+J63</f>
        <v>155071.04000000001</v>
      </c>
      <c r="L63" s="173" t="s">
        <v>824</v>
      </c>
      <c r="M63" s="429"/>
      <c r="N63" s="429"/>
      <c r="O63" s="173"/>
    </row>
    <row r="64" spans="1:15" ht="14.25">
      <c r="A64" s="432">
        <f>+A63+1</f>
        <v>28</v>
      </c>
      <c r="B64" s="1309">
        <v>1650021</v>
      </c>
      <c r="C64" s="975" t="s">
        <v>805</v>
      </c>
      <c r="D64" s="1000">
        <v>113354.3</v>
      </c>
      <c r="E64" s="488">
        <f>+D64-K64</f>
        <v>0</v>
      </c>
      <c r="F64" s="423"/>
      <c r="G64" s="489"/>
      <c r="I64" s="489">
        <f>+D64</f>
        <v>113354.3</v>
      </c>
      <c r="J64" s="491"/>
      <c r="K64" s="490">
        <f>+G64+I64+J64</f>
        <v>113354.3</v>
      </c>
      <c r="L64" s="173" t="s">
        <v>824</v>
      </c>
      <c r="M64" s="429"/>
      <c r="N64" s="429"/>
      <c r="O64" s="173"/>
    </row>
    <row r="65" spans="1:15" ht="14.25">
      <c r="A65" s="432">
        <f t="shared" ref="A65:A78" si="1">+A64+1</f>
        <v>29</v>
      </c>
      <c r="B65" s="1309">
        <v>1650023</v>
      </c>
      <c r="C65" s="975" t="s">
        <v>806</v>
      </c>
      <c r="D65" s="1000">
        <v>46970.559999999998</v>
      </c>
      <c r="E65" s="488">
        <f>+D65-K65</f>
        <v>0</v>
      </c>
      <c r="F65" s="423"/>
      <c r="G65" s="489"/>
      <c r="I65" s="489">
        <f>D65</f>
        <v>46970.559999999998</v>
      </c>
      <c r="J65" s="491"/>
      <c r="K65" s="490">
        <f>+G65+I65+J65</f>
        <v>46970.559999999998</v>
      </c>
      <c r="L65" s="173" t="s">
        <v>806</v>
      </c>
      <c r="M65" s="429"/>
      <c r="N65" s="429"/>
      <c r="O65" s="173"/>
    </row>
    <row r="66" spans="1:15" ht="14.25">
      <c r="A66" s="432">
        <f t="shared" si="1"/>
        <v>30</v>
      </c>
      <c r="B66" s="1308"/>
      <c r="C66" s="975"/>
      <c r="D66" s="1000"/>
      <c r="E66" s="488"/>
      <c r="F66" s="423"/>
      <c r="G66" s="489"/>
      <c r="I66" s="489"/>
      <c r="J66" s="489"/>
      <c r="K66" s="489"/>
      <c r="L66" s="173"/>
      <c r="M66" s="429"/>
      <c r="N66" s="429"/>
      <c r="O66" s="173"/>
    </row>
    <row r="67" spans="1:15" ht="14.25">
      <c r="A67" s="432">
        <f t="shared" si="1"/>
        <v>31</v>
      </c>
      <c r="B67" s="1308"/>
      <c r="C67" s="975"/>
      <c r="D67" s="1000"/>
      <c r="E67" s="488"/>
      <c r="F67" s="423"/>
      <c r="G67" s="489"/>
      <c r="I67" s="489"/>
      <c r="J67" s="489"/>
      <c r="K67" s="489"/>
      <c r="L67" s="393"/>
      <c r="M67" s="429"/>
      <c r="N67" s="429"/>
      <c r="O67" s="173"/>
    </row>
    <row r="68" spans="1:15" ht="14.25">
      <c r="A68" s="432">
        <f t="shared" si="1"/>
        <v>32</v>
      </c>
      <c r="B68" s="1308"/>
      <c r="C68" s="975"/>
      <c r="D68" s="1000"/>
      <c r="E68" s="488"/>
      <c r="F68" s="423"/>
      <c r="G68" s="489"/>
      <c r="I68" s="489"/>
      <c r="J68" s="489"/>
      <c r="K68" s="489"/>
      <c r="L68" s="393"/>
      <c r="M68" s="429"/>
      <c r="N68" s="429"/>
      <c r="O68" s="173"/>
    </row>
    <row r="69" spans="1:15" ht="14.25">
      <c r="A69" s="432">
        <f t="shared" si="1"/>
        <v>33</v>
      </c>
      <c r="B69" s="1308"/>
      <c r="C69" s="975"/>
      <c r="D69" s="1000"/>
      <c r="E69" s="488"/>
      <c r="F69" s="423"/>
      <c r="G69" s="490"/>
      <c r="I69" s="489"/>
      <c r="J69" s="490"/>
      <c r="K69" s="490"/>
      <c r="L69" s="393"/>
      <c r="M69" s="429"/>
      <c r="N69" s="429"/>
      <c r="O69" s="173"/>
    </row>
    <row r="70" spans="1:15" ht="14.25">
      <c r="A70" s="432">
        <f t="shared" si="1"/>
        <v>34</v>
      </c>
      <c r="B70" s="1308"/>
      <c r="C70" s="975"/>
      <c r="D70" s="1000"/>
      <c r="E70" s="488"/>
      <c r="F70" s="423"/>
      <c r="G70" s="489"/>
      <c r="I70" s="489"/>
      <c r="J70" s="489"/>
      <c r="K70" s="490"/>
      <c r="L70" s="348"/>
      <c r="M70" s="429"/>
      <c r="N70" s="429"/>
      <c r="O70" s="173"/>
    </row>
    <row r="71" spans="1:15" ht="14.25">
      <c r="A71" s="432">
        <f t="shared" si="1"/>
        <v>35</v>
      </c>
      <c r="B71" s="1308"/>
      <c r="C71" s="975"/>
      <c r="D71" s="1000"/>
      <c r="E71" s="488"/>
      <c r="F71" s="423"/>
      <c r="G71" s="489"/>
      <c r="I71" s="489"/>
      <c r="J71" s="489"/>
      <c r="K71" s="490"/>
      <c r="L71" s="393"/>
      <c r="M71" s="429"/>
      <c r="N71" s="429"/>
      <c r="O71" s="173"/>
    </row>
    <row r="72" spans="1:15" ht="14.25">
      <c r="A72" s="432">
        <f>+A69+1</f>
        <v>34</v>
      </c>
      <c r="B72" s="1308"/>
      <c r="C72" s="975"/>
      <c r="D72" s="1000"/>
      <c r="E72" s="488"/>
      <c r="F72" s="423"/>
      <c r="G72" s="489"/>
      <c r="I72" s="489"/>
      <c r="J72" s="489"/>
      <c r="K72" s="490"/>
      <c r="L72" s="393"/>
      <c r="M72" s="429"/>
      <c r="N72" s="429"/>
      <c r="O72" s="173"/>
    </row>
    <row r="73" spans="1:15" ht="14.25">
      <c r="A73" s="432">
        <f t="shared" si="1"/>
        <v>35</v>
      </c>
      <c r="B73" s="1309"/>
      <c r="C73" s="975"/>
      <c r="D73" s="1000"/>
      <c r="E73" s="488"/>
      <c r="F73" s="423"/>
      <c r="G73" s="489"/>
      <c r="I73" s="489"/>
      <c r="J73" s="491"/>
      <c r="K73" s="490"/>
      <c r="L73" s="173"/>
      <c r="M73" s="429"/>
      <c r="N73" s="429"/>
      <c r="O73" s="173"/>
    </row>
    <row r="74" spans="1:15" ht="14.25">
      <c r="A74" s="432">
        <f t="shared" si="1"/>
        <v>36</v>
      </c>
      <c r="B74" s="1309"/>
      <c r="C74" s="975"/>
      <c r="D74" s="1000"/>
      <c r="E74" s="488"/>
      <c r="F74" s="423"/>
      <c r="G74" s="489"/>
      <c r="I74" s="489"/>
      <c r="J74" s="491"/>
      <c r="K74" s="490"/>
      <c r="L74" s="173"/>
      <c r="M74" s="429"/>
      <c r="N74" s="429"/>
      <c r="O74" s="173"/>
    </row>
    <row r="75" spans="1:15" ht="14.25">
      <c r="A75" s="432">
        <f t="shared" si="1"/>
        <v>37</v>
      </c>
      <c r="B75" s="1309"/>
      <c r="C75" s="975"/>
      <c r="D75" s="1000"/>
      <c r="E75" s="488"/>
      <c r="F75" s="423"/>
      <c r="G75" s="489"/>
      <c r="I75" s="489"/>
      <c r="J75" s="491"/>
      <c r="K75" s="490"/>
      <c r="L75" s="393"/>
      <c r="M75" s="429"/>
      <c r="N75" s="429"/>
      <c r="O75" s="173"/>
    </row>
    <row r="76" spans="1:15" ht="14.25">
      <c r="A76" s="432">
        <f t="shared" si="1"/>
        <v>38</v>
      </c>
      <c r="B76" s="1309"/>
      <c r="C76" s="975"/>
      <c r="D76" s="1000"/>
      <c r="E76" s="488"/>
      <c r="F76" s="423"/>
      <c r="G76" s="489"/>
      <c r="I76" s="489"/>
      <c r="J76" s="491"/>
      <c r="K76" s="490"/>
      <c r="L76" s="393"/>
      <c r="M76" s="429"/>
      <c r="N76" s="429"/>
      <c r="O76" s="173"/>
    </row>
    <row r="77" spans="1:15" ht="14.25">
      <c r="A77" s="432">
        <f t="shared" si="1"/>
        <v>39</v>
      </c>
      <c r="B77" s="1309"/>
      <c r="C77" s="975"/>
      <c r="D77" s="1000"/>
      <c r="E77" s="488"/>
      <c r="F77" s="423"/>
      <c r="G77" s="489"/>
      <c r="I77" s="489"/>
      <c r="J77" s="491"/>
      <c r="K77" s="490"/>
      <c r="L77" s="393"/>
      <c r="M77" s="429"/>
      <c r="N77" s="429"/>
      <c r="O77" s="173"/>
    </row>
    <row r="78" spans="1:15" ht="15" thickBot="1">
      <c r="A78" s="432">
        <f t="shared" si="1"/>
        <v>40</v>
      </c>
      <c r="B78" s="1309"/>
      <c r="C78" s="975"/>
      <c r="D78" s="1000"/>
      <c r="E78" s="488"/>
      <c r="F78" s="423"/>
      <c r="G78" s="489"/>
      <c r="I78" s="489"/>
      <c r="J78" s="489"/>
      <c r="K78" s="490"/>
      <c r="L78" s="393"/>
      <c r="M78" s="429"/>
      <c r="N78" s="429"/>
      <c r="O78" s="173"/>
    </row>
    <row r="79" spans="1:15">
      <c r="A79" s="432"/>
      <c r="B79" s="485"/>
      <c r="C79" s="1246" t="s">
        <v>626</v>
      </c>
      <c r="D79" s="493">
        <f>SUM(D63:D78)</f>
        <v>315395.90000000002</v>
      </c>
      <c r="E79" s="494">
        <f>SUM(E63:E78)</f>
        <v>0</v>
      </c>
      <c r="F79" s="423"/>
      <c r="G79" s="493">
        <f>SUM(G63:G78)</f>
        <v>0</v>
      </c>
      <c r="I79" s="493">
        <f>SUM(I63:I78)</f>
        <v>315395.90000000002</v>
      </c>
      <c r="J79" s="493">
        <f>SUM(J63:J78)</f>
        <v>0</v>
      </c>
      <c r="K79" s="493">
        <f>SUM(K63:K78)</f>
        <v>315395.90000000002</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6" t="s">
        <v>693</v>
      </c>
      <c r="B81" s="1541" t="s">
        <v>779</v>
      </c>
      <c r="C81" s="1541"/>
      <c r="D81" s="1541"/>
      <c r="E81" s="1541"/>
      <c r="F81" s="1541"/>
      <c r="G81" s="1541"/>
      <c r="H81" s="1541"/>
      <c r="I81" s="1541"/>
      <c r="J81" s="1541"/>
      <c r="K81" s="1541"/>
      <c r="L81" s="1541"/>
      <c r="M81" s="429"/>
      <c r="N81" s="429"/>
      <c r="O81" s="173"/>
    </row>
    <row r="82" spans="1:15" ht="20.25" customHeight="1">
      <c r="A82" s="1247"/>
      <c r="B82" s="1541"/>
      <c r="C82" s="1541"/>
      <c r="D82" s="1541"/>
      <c r="E82" s="1541"/>
      <c r="F82" s="1541"/>
      <c r="G82" s="1541"/>
      <c r="H82" s="1541"/>
      <c r="I82" s="1541"/>
      <c r="J82" s="1541"/>
      <c r="K82" s="1541"/>
      <c r="L82" s="1541"/>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DQ6Mj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2AC32B76-55A8-4F69-BA8A-35E89724227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45C09BE-0265-4C35-9A2B-C6231A84D3E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 B-3-A Remeas Suprt</vt:lpstr>
      <vt:lpstr>WS B-3-B</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Interest(2)</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2023-05-24T13:10:55Z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98b89548-762b-45e5-b3f8-5c6a8b798748</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{2AC32B76-55A8-4F69-BA8A-35E897242272}</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